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 Memorial de Cálculo do Custo" sheetId="1" r:id="rId1"/>
    <sheet name="Planilha Composição de Custos" sheetId="2" r:id="rId2"/>
    <sheet name="Provisão para Rescisão" sheetId="3" r:id="rId3"/>
  </sheets>
  <definedNames>
    <definedName name="_xlnm.Print_Area" localSheetId="1">'Planilha Composição de Custos'!$A$1:$F$234</definedName>
    <definedName name="_xlnm.Print_Titles" localSheetId="1">'Planilha Composição de Custos'!$1:$7</definedName>
  </definedNames>
  <calcPr fullCalcOnLoad="1"/>
</workbook>
</file>

<file path=xl/sharedStrings.xml><?xml version="1.0" encoding="utf-8"?>
<sst xmlns="http://schemas.openxmlformats.org/spreadsheetml/2006/main" count="478" uniqueCount="315">
  <si>
    <t>Salário Normal</t>
  </si>
  <si>
    <t>hora</t>
  </si>
  <si>
    <t>Adicional de Insalubridade</t>
  </si>
  <si>
    <t>%</t>
  </si>
  <si>
    <t>Soma</t>
  </si>
  <si>
    <t>Encargos Sociais</t>
  </si>
  <si>
    <t>Total por Motorista</t>
  </si>
  <si>
    <t>Total do Efetivo</t>
  </si>
  <si>
    <t>homem</t>
  </si>
  <si>
    <t>mês</t>
  </si>
  <si>
    <t>unidade</t>
  </si>
  <si>
    <t>Colete reflexivo</t>
  </si>
  <si>
    <t>IPVA</t>
  </si>
  <si>
    <t>Seguro contra terceiros</t>
  </si>
  <si>
    <t>km/l</t>
  </si>
  <si>
    <t>km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</si>
  <si>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</si>
  <si>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</si>
  <si>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</si>
  <si>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</si>
  <si>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</si>
  <si>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</si>
  <si>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</si>
  <si>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Horas Extras (100%)</t>
  </si>
  <si>
    <t>Horas Extras (50%)</t>
  </si>
  <si>
    <t>Benefícios e despesas indiretas</t>
  </si>
  <si>
    <t>CUSTO TOTAL MENSAL COM DESPESAS OPERACIONAIS (R$/mês) ........................................................................................................</t>
  </si>
  <si>
    <t>CUSTOS MENSAL TOTAL (R$/mês) ....................................................................................................</t>
  </si>
  <si>
    <t>Síntese dos custos</t>
  </si>
  <si>
    <t>Item</t>
  </si>
  <si>
    <t>Custo (R$/mês)</t>
  </si>
  <si>
    <t>Síntese de quantitativos</t>
  </si>
  <si>
    <t>Quantidade</t>
  </si>
  <si>
    <t>Grupo A</t>
  </si>
  <si>
    <t>INSS</t>
  </si>
  <si>
    <t>FGTS</t>
  </si>
  <si>
    <t>Seg. Acid. Trabalho</t>
  </si>
  <si>
    <t>Salário Educação</t>
  </si>
  <si>
    <t>Sebrae</t>
  </si>
  <si>
    <t>Sesi/Sesc/DPC/Faer</t>
  </si>
  <si>
    <t>Senai/Senac/DPC/Faer</t>
  </si>
  <si>
    <t>Incra</t>
  </si>
  <si>
    <t>Sub-total</t>
  </si>
  <si>
    <t>Grupo B</t>
  </si>
  <si>
    <t>Férias</t>
  </si>
  <si>
    <t>Aviso Prévio</t>
  </si>
  <si>
    <t>Auxílio Doença</t>
  </si>
  <si>
    <t>Grupo C</t>
  </si>
  <si>
    <t>13° Salário</t>
  </si>
  <si>
    <t>Grupo A sobre Grupo B</t>
  </si>
  <si>
    <t>FGTS sobre  Aviso Prévio</t>
  </si>
  <si>
    <t>Planilha de Composição de Custos</t>
  </si>
  <si>
    <t>2. Uniformes e Equipamentos de Proteção Individual</t>
  </si>
  <si>
    <t>Custo Mensal com Uniformes e EPI's (R$/mês) .........................................................................</t>
  </si>
  <si>
    <t>par</t>
  </si>
  <si>
    <t>frasco 120g</t>
  </si>
  <si>
    <t>Seguro obrigatório</t>
  </si>
  <si>
    <t>litros</t>
  </si>
  <si>
    <t>m³</t>
  </si>
  <si>
    <t>verba</t>
  </si>
  <si>
    <t>Água potável (lavadora contêineres)</t>
  </si>
  <si>
    <t>Água potável (lavagem externa contêin.)</t>
  </si>
  <si>
    <t>Enzima líquida (lavagem contêineres)</t>
  </si>
  <si>
    <t>Depreciação mensal do veículo</t>
  </si>
  <si>
    <t>Custo mensal com pneus</t>
  </si>
  <si>
    <t>Custo Mensal com BDI (R$/mês) .............................................................................................</t>
  </si>
  <si>
    <t>Custo Mensal com Ferramentas e Materiais de Consumo (R$/mês) ..............................................</t>
  </si>
  <si>
    <t>Custo de aquisição do chassi</t>
  </si>
  <si>
    <t>Publicidade (adesivos equipamentos)</t>
  </si>
  <si>
    <t>Publicidade (adesivos contêineres)</t>
  </si>
  <si>
    <t>cj</t>
  </si>
  <si>
    <t>Publicidade (adesivos veículos)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</si>
  <si>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</si>
  <si>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</si>
  <si>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</si>
  <si>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</si>
  <si>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 val="single"/>
        <sz val="9"/>
        <rFont val="Arial"/>
        <family val="2"/>
      </rPr>
      <t>(R$)</t>
    </r>
  </si>
  <si>
    <t>Preço unitário</t>
  </si>
  <si>
    <t>Jaqueta com reflexivo (NBR 15.292)</t>
  </si>
  <si>
    <t>Camiseta de algodão</t>
  </si>
  <si>
    <t>Capa de chuva amarela com reflexivo</t>
  </si>
  <si>
    <t>Botina de segurança c/ palmilha aço</t>
  </si>
  <si>
    <t>Descrição</t>
  </si>
  <si>
    <t>Higienização de uniformes e EPI's</t>
  </si>
  <si>
    <t>Custo de recapagem</t>
  </si>
  <si>
    <t>Custo jg. compl. + recap. / km rodado</t>
  </si>
  <si>
    <t>Recipiente térmico para água (5L)</t>
  </si>
  <si>
    <t>1.1. Operário Turno do Dia</t>
  </si>
  <si>
    <t>Total por Operário</t>
  </si>
  <si>
    <t>2.1. Uniformes e EPI's para Operário</t>
  </si>
  <si>
    <t>Respirador semifacial p/ poeira e gases</t>
  </si>
  <si>
    <t>Mater. limpeza (Equipe lavag. contêineres)</t>
  </si>
  <si>
    <t>Custo de aquisição do braço hidráulico</t>
  </si>
  <si>
    <t>Custo aquisição carroceria (cpr. min 6m)</t>
  </si>
  <si>
    <t>3.1.1. Depreciação</t>
  </si>
  <si>
    <t>Composição do BDI - Benefícios e Despesas Indiretas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</si>
  <si>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</si>
  <si>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</si>
  <si>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</si>
  <si>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</si>
  <si>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</si>
  <si>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</si>
  <si>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</si>
  <si>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</si>
  <si>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</si>
  <si>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</si>
  <si>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</si>
  <si>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</si>
  <si>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</si>
  <si>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SETOR DE CONTABILIDADE</t>
  </si>
  <si>
    <t>ESTADO DO RIO GRANDE DO SUL</t>
  </si>
  <si>
    <t>fazer parte integrante deste memorial.</t>
  </si>
  <si>
    <t>Toneladas, cujo consumo médio de óleo diesel é de 4,1 km por litro em deslocamento</t>
  </si>
  <si>
    <t>O preço médio de aquição é de R$230.000,00 e em torno de R$20.000,00 é o investi-</t>
  </si>
  <si>
    <t>Roteiro</t>
  </si>
  <si>
    <t xml:space="preserve">Perímetro Urbano </t>
  </si>
  <si>
    <t>Para calcular o número de quilômetros rodados por mês utilizamos as seguintes tabelas:</t>
  </si>
  <si>
    <t>N. Coletas</t>
  </si>
  <si>
    <t>Fator Semanas</t>
  </si>
  <si>
    <t>Km Rod.</t>
  </si>
  <si>
    <t>Total KM/mês</t>
  </si>
  <si>
    <t xml:space="preserve">Total Deslocamentos </t>
  </si>
  <si>
    <t>Deslocamentos Contínuos</t>
  </si>
  <si>
    <t>Coleta Mensal</t>
  </si>
  <si>
    <t>Distância</t>
  </si>
  <si>
    <t xml:space="preserve">Para o cálculo da provisão para ações trabalhista, este estudo já considerou a chamada </t>
  </si>
  <si>
    <t xml:space="preserve">Reforma Trabalhista introduzida no nosso ordenamento jurídico pela Lei 13.467/2017, </t>
  </si>
  <si>
    <t>levou em conta também o aviso prévio proporcional e a multa rescisória sobre o FGTS.</t>
  </si>
  <si>
    <t>No rateio da folha de pagamento considerou-se a utlização de 01 (hum) motorista e 03(três)</t>
  </si>
  <si>
    <t>posterior envio ao aterro e compostagem.</t>
  </si>
  <si>
    <t xml:space="preserve">Para o cálculo dos custos e provisões da folha de pagamento foi utlizada a planilha do </t>
  </si>
  <si>
    <t>60% (sessenta por cento) dos seus custos trabalhistas devem ser rateados para a atividade.</t>
  </si>
  <si>
    <t xml:space="preserve">Encargos Sociais - Provisões </t>
  </si>
  <si>
    <t>Hochman, Andrea Cecilia Rama e Silvia Ana Ramal, Editora Elsevier, RJ.</t>
  </si>
  <si>
    <t>Para o cálculo das Provisões Para Rescisões têm-se como referência a Planilha de Custos</t>
  </si>
  <si>
    <t>disponível em https://www.licitacao.online/planilha/modulo44, elaborada pela Bolsa Brasilei-</t>
  </si>
  <si>
    <t>ra de Mercadorias.</t>
  </si>
  <si>
    <t>Provisão para Rescisão</t>
  </si>
  <si>
    <t>A</t>
  </si>
  <si>
    <t>Aviso prévio indenizado</t>
  </si>
  <si>
    <t>B</t>
  </si>
  <si>
    <t>Incidência do FGTS sobre aviso prévio indenizado</t>
  </si>
  <si>
    <t>C</t>
  </si>
  <si>
    <t>Multa do FGTS do aviso prévio indenizado</t>
  </si>
  <si>
    <t>(Remuneração + 13º salário + Férias + Adicional de férias) x 50% multa x 8% Fgts x 0,9 x 0,5 = 2,15</t>
  </si>
  <si>
    <t>(1 Remuneração + 0,0833 13º Salário + 0,0833 Férias + 0,0278 Adic.Férias) x 0,5 Multa x 0,08 FGTS x 0,9 x 0,5 = 2,15</t>
  </si>
  <si>
    <t>D</t>
  </si>
  <si>
    <t>Aviso prévio trabalhado</t>
  </si>
  <si>
    <t>Cálculo: (Base de Cálculo) x 1,94%</t>
  </si>
  <si>
    <t>E</t>
  </si>
  <si>
    <t>Incidência do submódulo 4.1 sobre aviso prévio trabalhado</t>
  </si>
  <si>
    <t>(Submódulo 4.1) x 1,94%</t>
  </si>
  <si>
    <t>Cálculo: (Base de Cálculo) x 0,71%</t>
  </si>
  <si>
    <t>F</t>
  </si>
  <si>
    <t>Multa do FGTS do aviso prévio trabalhado</t>
  </si>
  <si>
    <t>(Remuneração + 13º salário + Férias + Adicional de férias) x 50% multa x 8% Fgts x 0,9 x 0,5</t>
  </si>
  <si>
    <t>(1 Remuneração + 0,0833 13º Salário + 0,0833 Férias + 0,0278 Adic.Férias) x 0,5 Multa x 0,08 FGTS x 0,9 x 0,5</t>
  </si>
  <si>
    <t>4.4</t>
  </si>
  <si>
    <t xml:space="preserve">Fonte: </t>
  </si>
  <si>
    <t>https://www.licitacao.online/planilha/modulo44</t>
  </si>
  <si>
    <r>
      <t>1 salário integral x (1 mês não trabalhado / 12 meses) x 5,5% estatística = </t>
    </r>
    <r>
      <rPr>
        <b/>
        <sz val="12"/>
        <rFont val="Arial"/>
        <family val="2"/>
      </rPr>
      <t>0,42%</t>
    </r>
  </si>
  <si>
    <r>
      <t>8% x 0,42% = </t>
    </r>
    <r>
      <rPr>
        <b/>
        <sz val="12"/>
        <rFont val="Arial"/>
        <family val="2"/>
      </rPr>
      <t>0,03%</t>
    </r>
  </si>
  <si>
    <r>
      <t>[(1 salário integral / 30 dias) x </t>
    </r>
    <r>
      <rPr>
        <b/>
        <sz val="12"/>
        <rFont val="Arial"/>
        <family val="2"/>
      </rPr>
      <t>7 dias</t>
    </r>
    <r>
      <rPr>
        <sz val="12"/>
        <rFont val="Arial"/>
        <family val="2"/>
      </rPr>
      <t>] / 12 meses =</t>
    </r>
    <r>
      <rPr>
        <b/>
        <sz val="12"/>
        <rFont val="Arial"/>
        <family val="2"/>
      </rPr>
      <t>1,94%</t>
    </r>
    <r>
      <rPr>
        <sz val="12"/>
        <rFont val="Arial"/>
        <family val="2"/>
      </rPr>
      <t> é o índice</t>
    </r>
  </si>
  <si>
    <r>
      <t>Base de Cálculo</t>
    </r>
    <r>
      <rPr>
        <sz val="12"/>
        <rFont val="Arial"/>
        <family val="2"/>
      </rPr>
      <t> = Módulo 1 + Módulo 2 + 13º + Adicional de Férias</t>
    </r>
  </si>
  <si>
    <r>
      <t>Exemplo: 36,80% x 1,94% = </t>
    </r>
    <r>
      <rPr>
        <b/>
        <sz val="12"/>
        <rFont val="Arial"/>
        <family val="2"/>
      </rPr>
      <t>0,71%</t>
    </r>
    <r>
      <rPr>
        <sz val="12"/>
        <rFont val="Arial"/>
        <family val="2"/>
      </rPr>
      <t> seria o índice</t>
    </r>
  </si>
  <si>
    <t>Tributos sobre o Faturamentos</t>
  </si>
  <si>
    <t xml:space="preserve">TOTAL DAS PROVISÕES PARA RESCISÃO </t>
  </si>
  <si>
    <t xml:space="preserve">Para os cálculos das Contribuoções Sociais teve-se como parámetro também o Anexo </t>
  </si>
  <si>
    <t>VII-D, da IN  05/2017, de 05 de maio de 2017, do Ministério de Planejamento, Desenvol-</t>
  </si>
  <si>
    <t xml:space="preserve">O salário do Motorista foi calculado com base no dissídio do Sindicato dos Trabalhadores </t>
  </si>
  <si>
    <t>Rodoviários do Alto Uruguai que definfiu o piso salaria da categoria de Motorista de Cami-</t>
  </si>
  <si>
    <t>nhão de Coleta e Entrega e os Garís ou Coletores de Lixo pelo Salário Mínimo Regional do</t>
  </si>
  <si>
    <t>Estado do Rio Grande do Sul.</t>
  </si>
  <si>
    <t>Percentual de Tempo Rateado à Atividade</t>
  </si>
  <si>
    <t>guinte quadro para calcular o consumo óleo diesel.</t>
  </si>
  <si>
    <t>Total</t>
  </si>
  <si>
    <t>Total Km</t>
  </si>
  <si>
    <t>Km/litros</t>
  </si>
  <si>
    <t>Total litros</t>
  </si>
  <si>
    <t>Para este estudo foi considerado que um ano possui 52  semanas e 1 dia, sendo assim</t>
  </si>
  <si>
    <t xml:space="preserve">teremos 4,33 semanas por mês. </t>
  </si>
  <si>
    <t>Cálculo da Depreciação Mensal do Caminhão pelo Método Linear</t>
  </si>
  <si>
    <t>Preço de Aquisição</t>
  </si>
  <si>
    <t>Tempo de Utilização em meses</t>
  </si>
  <si>
    <t>Valor Residual</t>
  </si>
  <si>
    <t>Valor Depreciável</t>
  </si>
  <si>
    <t>Valor Depreciação Mensal</t>
  </si>
  <si>
    <t>Para o cálculo do consumo de pneus considerou-se uma durabilidade média de 23.000 km</t>
  </si>
  <si>
    <t>Durabilidade em Km</t>
  </si>
  <si>
    <t>Km percorridos por mês</t>
  </si>
  <si>
    <t>Duração dos Pneus em meses</t>
  </si>
  <si>
    <t>Valor Desgaste Mensal dos Pneus</t>
  </si>
  <si>
    <t>Custo do jogo de pneus 1000/20</t>
  </si>
  <si>
    <t>Insalubridade</t>
  </si>
  <si>
    <t>50% FGTS e Verbas Rescisórias</t>
  </si>
  <si>
    <t>Total das Provisões</t>
  </si>
  <si>
    <t xml:space="preserve">Salário Básico </t>
  </si>
  <si>
    <t>Provisões Diversas</t>
  </si>
  <si>
    <t xml:space="preserve">Total do Custo do Folha </t>
  </si>
  <si>
    <t>Representatividade na Atividade</t>
  </si>
  <si>
    <t>Motorista de Carga/Coleta e Entraga</t>
  </si>
  <si>
    <t>Coletores de Lixo (Garis)</t>
  </si>
  <si>
    <t>Total Geral de Folha de Pagamento</t>
  </si>
  <si>
    <t>Total Geral do Custos Sobre a Folha</t>
  </si>
  <si>
    <t>Provisões Diversas Sobre a Mão de Obra</t>
  </si>
  <si>
    <t>Total dos Custos Antes do BDI</t>
  </si>
  <si>
    <t>Total de mão de obra (postos de trabalho)</t>
  </si>
  <si>
    <t>1. Mão de obra</t>
  </si>
  <si>
    <t>Custo Mensal com Mão de obra (R$/mês) ..............................................................................................</t>
  </si>
  <si>
    <t>Mão de obra</t>
  </si>
  <si>
    <t>que todos os custos esteja devidamente apropriados.</t>
  </si>
  <si>
    <t>Auxílio Refeição *</t>
  </si>
  <si>
    <t>Premio Assiduidade *</t>
  </si>
  <si>
    <t xml:space="preserve">Método Utilizado: Método de Custo por Absorção ou Custeio Integral onde todos os custos </t>
  </si>
  <si>
    <t xml:space="preserve">Deslocamentos intermitentes </t>
  </si>
  <si>
    <t xml:space="preserve"> </t>
  </si>
  <si>
    <t>N. Viagens Mensais</t>
  </si>
  <si>
    <t xml:space="preserve">Obs.: Todos os dados são mensais. </t>
  </si>
  <si>
    <t>Quilometros de Coleta Intermitente</t>
  </si>
  <si>
    <t>Quilometros de Coleta Contínua</t>
  </si>
  <si>
    <t>Dados para Depreciação do Caminhão:</t>
  </si>
  <si>
    <t xml:space="preserve">mento em uma carroceria, totalizando R$250.000,00. Considerou-se a utlização       do </t>
  </si>
  <si>
    <t>garís. O motorista trabalha das 07hs00min até as 12hs00min. Os garís trabalham igualmente</t>
  </si>
  <si>
    <t>das 07hs00min às 12hs00min, com intervalo para almoço até as 13hs30min. Sendo que das</t>
  </si>
  <si>
    <t>13hs30min até as 17hs18min os três garís fazem a triagem ou seleção dos materiais para o</t>
  </si>
  <si>
    <t>Considerando que dos 05(cinco) dias semanais os garís trabalham 03(três), têm-se     que</t>
  </si>
  <si>
    <t xml:space="preserve">No caso do motorista ele trabalha 05 (cinco) hs diárias para a coleta e mais 30 minutos a </t>
  </si>
  <si>
    <t>tarde para fazer o destino final com a caçamba. O Motorista trabalha um total de 16hs30 min</t>
  </si>
  <si>
    <t>semanais para a atividade. Considerando uma carga horária prevista na CLT de 44 hs sema-</t>
  </si>
  <si>
    <t>nais, representa 37,50% da folha de pagamento mensal.</t>
  </si>
  <si>
    <t xml:space="preserve">Do local da triagem até o aterro a distância a ser percorrida pelo caminhão caçamba foi </t>
  </si>
  <si>
    <t>Para o aterro e compostagem considerou-se a utlização de trator 4x4 com pá frontal ou  re-</t>
  </si>
  <si>
    <t>* Benefícios previstos no Dissído do Sindicato da Categoria.</t>
  </si>
  <si>
    <t>Considerou-se para os cálculos dos encargos sociais empresa enquadra no regime tributário</t>
  </si>
  <si>
    <t>do Lucro Real ou Presumido.</t>
  </si>
  <si>
    <t>Total Km/mês</t>
  </si>
  <si>
    <t xml:space="preserve">Livro Construíndo Planos de Negócios dos Professores Cesar Simões Salim, Neslon </t>
  </si>
  <si>
    <t>Grupo E</t>
  </si>
  <si>
    <t>Provisões Diversas - Grupos B;C;E</t>
  </si>
  <si>
    <t>Encargos Sociais - Grupo A</t>
  </si>
  <si>
    <t>Custo óleo diesel/km rodado/Coleta Contínua</t>
  </si>
  <si>
    <t>Custo óleo diesel/km rodado/Coleta Intermitente</t>
  </si>
  <si>
    <t>Cálculo da Depreciação Mensal da Carroceria pelo Método Linear</t>
  </si>
  <si>
    <t>Valor total Depreciação Mensal</t>
  </si>
  <si>
    <t>A Secretaria de Obras e o Departamento de Meio Ambiente elaboraram as rotas de coleta</t>
  </si>
  <si>
    <t>com a utilização do GPS (Global Positioning System), que criou por meio do método de mode-</t>
  </si>
  <si>
    <t>lagem, os roteiros onde será realizada a coleta objeto da licitação. Tais mapas passam a</t>
  </si>
  <si>
    <t>O estudo se baseou na utilização de caminhão com capacidade média de oito (8)</t>
  </si>
  <si>
    <t>Considerando os dados coletados pela Secretaria Municipal de Obras, elaborou-se o se-</t>
  </si>
  <si>
    <t>mesmo por dez (10) anos, o valor residual recuperável do caminhão ao final do projeto, com</t>
  </si>
  <si>
    <t>1.2. Motorista Turno do Dia</t>
  </si>
  <si>
    <t>2.2. Uniformes e EPI's para Motorista</t>
  </si>
  <si>
    <t>3.1. Veículo Toco com Carroceria de Madeira</t>
  </si>
  <si>
    <t>3.1.2. Impostos e Seguros</t>
  </si>
  <si>
    <t>3.1.3. Consumos</t>
  </si>
  <si>
    <t>3.1.4. Manutenção</t>
  </si>
  <si>
    <t>Manutenção Preventiva/mês</t>
  </si>
  <si>
    <t>3.1.5. Pneus</t>
  </si>
  <si>
    <t>Custo Mensal com Veículos  (R$/mês) ................................................................................</t>
  </si>
  <si>
    <t>4. Ferramentas e Materiais de Consumo</t>
  </si>
  <si>
    <t>5. Horas Máquinas de Trator com Pá Frontal</t>
  </si>
  <si>
    <t>5. Custo Compostagem</t>
  </si>
  <si>
    <t>horas</t>
  </si>
  <si>
    <t>Custo Mensal com Custo Compostagem (R$/mês) ..............................................</t>
  </si>
  <si>
    <t>6. Benefícios e Despesas Indiretas - BDI</t>
  </si>
  <si>
    <t>Veículo</t>
  </si>
  <si>
    <t xml:space="preserve">MEMORIAL DE CÁLCULO DO CUSTO DA COLETA DE LIXO  </t>
  </si>
  <si>
    <t>base no preço de mercado é de R$69.000,00, assim sendo tem-se o valor depreciável em 10</t>
  </si>
  <si>
    <t>anos é de R$161.000,00. E para a carroceria o valor residual será de R$2.000,00.</t>
  </si>
  <si>
    <t>para evidenciar o desgaste mensal  de pneus em R$:</t>
  </si>
  <si>
    <t>Depreciação do chassi (120 meses)</t>
  </si>
  <si>
    <t>Depreciação carroceria (120 meses)</t>
  </si>
  <si>
    <t xml:space="preserve">O presente memorial tem por finalidade fundamentar a Planilha de Composição de Custos </t>
  </si>
  <si>
    <t xml:space="preserve">para a prestação de serviços de coleta, transporte e classificação dos resíduos sólidos residenciais </t>
  </si>
  <si>
    <t xml:space="preserve">e comerciais recicláveis e não recicláveis, não contaminantes e não industriais, com posterior </t>
  </si>
  <si>
    <r>
      <t xml:space="preserve">vimento e Gestão disponível em: </t>
    </r>
    <r>
      <rPr>
        <sz val="10"/>
        <rFont val="Arial"/>
        <family val="2"/>
      </rPr>
      <t>https://www.comprasgovernamentais.gov.br/index.php/anexo-in5-2017</t>
    </r>
  </si>
  <si>
    <t xml:space="preserve"> processo licitatorio.</t>
  </si>
  <si>
    <t xml:space="preserve">destinação junto ao aterro sanitário licenciado,  servindo como Planilha Orçamentária (PO) do </t>
  </si>
  <si>
    <t>são direcionados à atividade proporcionalmente ao esforço exigido para a atividade, a fim de</t>
  </si>
  <si>
    <t xml:space="preserve">contínuo em pista de asfalto e em deslocamento contínuo em pista de saibro ou chão </t>
  </si>
  <si>
    <t>é de 2,2 km por litro.</t>
  </si>
  <si>
    <t xml:space="preserve">batido. Já para os deslomentos intermitentes para a coleta o consumo médio estimado </t>
  </si>
  <si>
    <t>Total da Mão de obra R$</t>
  </si>
  <si>
    <t>Depreciação braço hidráulico (120 meses)</t>
  </si>
  <si>
    <t>3. Veículo</t>
  </si>
  <si>
    <t>Horas máquina Trator Pá Frontal</t>
  </si>
  <si>
    <t xml:space="preserve">Custo total mensal com coleta </t>
  </si>
  <si>
    <t>Total de Impostos e seguros mensais</t>
  </si>
  <si>
    <t>rodados e o valor orçado pelo município. Assim sendo, elaborou-se a tabela a seguir,</t>
  </si>
  <si>
    <t>3.1.6. Higienização/Lavação</t>
  </si>
  <si>
    <t>Higienização/Lavação</t>
  </si>
  <si>
    <t>Considerou-se ainda a higienização ou seja a lavação do caminhão que deve ser realizada</t>
  </si>
  <si>
    <t>estimado em 1.000 m e em torno de 15 viagens mensais.</t>
  </si>
  <si>
    <t>valor da hora trabalhada é de R$80,00. O preço da hora máquina foi</t>
  </si>
  <si>
    <t xml:space="preserve"> baseada em licitação do setor público.</t>
  </si>
  <si>
    <t>no mínimo 15 vezes ao mês. Proporcionalizando o custo ao tempo utilizado na atividade</t>
  </si>
  <si>
    <t>ao preço de R$100,00 cada higienização/lavação, conforme preço de mercado.</t>
  </si>
  <si>
    <t xml:space="preserve">Coleta de Resíduos Sólidos Urbanos </t>
  </si>
  <si>
    <t>troescavadeira, por 01h30min/dia, em média, por 15 vezes ao mês. Que conforme Tabela de</t>
  </si>
  <si>
    <t>Tabela apresentada pela empresa</t>
  </si>
  <si>
    <t>Valor antes de embutir o INSS F185</t>
  </si>
  <si>
    <t>Valor foi somado a célula D10</t>
  </si>
  <si>
    <t>ENTRE RIOS DO SUL</t>
  </si>
  <si>
    <t>O roteiro principal chamado de "perímetro urbano" totalizou 23,2 km, no qual a coleta será</t>
  </si>
  <si>
    <t xml:space="preserve">realizada 03 (três) vezes por semana. O roteiro chamado "Roteiro Rural", </t>
  </si>
  <si>
    <t xml:space="preserve">Perímetro Rural </t>
  </si>
  <si>
    <t>Entre Rios a Trindade</t>
  </si>
  <si>
    <t>Total Km Rodados/Mês</t>
  </si>
  <si>
    <t xml:space="preserve">que conforme levantamento totaliza 43,2 km </t>
  </si>
  <si>
    <t xml:space="preserve">Valor de 6 Pneus 750X16 </t>
  </si>
  <si>
    <t>O preço  do óleo diesel licitado pelo Município de São Valentim é de R$ 3,48 ao litro.</t>
  </si>
  <si>
    <t>atende as comunidades de Vila União e Alto Alegre, passando por Volta Verde.</t>
  </si>
  <si>
    <t xml:space="preserve">             PREFEITURA MUNICIPAL DE ENTRE RIOS DO SUL</t>
  </si>
  <si>
    <t>O deslocamento da sede do Município é o Conigepu, destino final do lixo, na cidade de Trindade do Sul</t>
  </si>
  <si>
    <t xml:space="preserve">totalizou 63 km e será realizado uma vez por mês. O roteiro denominado "Roteiro Rural" 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</si>
</sst>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.00_);\(&quot;R$ &quot;#,##0.00\)"/>
    <numFmt numFmtId="171" formatCode="&quot;R$ &quot;#,##0.00_);[Red]\(&quot;R$ &quot;#,##0.00\)"/>
    <numFmt numFmtId="172" formatCode="_(* #,##0_);_(* \(#,##0\);_(* &quot;-&quot;_);_(@_)"/>
    <numFmt numFmtId="173" formatCode="_(* #,##0.00_);_(* \(#,##0.00\);_(* &quot;-&quot;??_);_(@_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_(* #,##0_);_(* \(#,##0\);_(* &quot;-&quot;??_);_(@_)"/>
    <numFmt numFmtId="177" formatCode="0.000"/>
    <numFmt numFmtId="178" formatCode="_(* #,##0.000_);_(* \(#,##0.000\);_(* &quot;-&quot;??_);_(@_)"/>
    <numFmt numFmtId="179" formatCode="_(* #,##0.00000_);_(* \(#,##0.00000\);_(* &quot;-&quot;??_);_(@_)"/>
    <numFmt numFmtId="180" formatCode="&quot;R$ &quot;#,##0.00"/>
    <numFmt numFmtId="181" formatCode="_(* #,##0.000000_);_(* \(#,##0.000000\);_(* &quot;-&quot;??_);_(@_)"/>
    <numFmt numFmtId="182" formatCode="0.00000"/>
    <numFmt numFmtId="183" formatCode="_(* #,##0.000000_);_(* \(#,##0.000000\);_(* &quot;-&quot;??????_);_(@_)"/>
    <numFmt numFmtId="184" formatCode="0.0000%"/>
    <numFmt numFmtId="185" formatCode="_(* #,##0.00000_);_(* \(#,##0.00000\);_(* &quot;-&quot;?????_);_(@_)"/>
    <numFmt numFmtId="186" formatCode="0.00000%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  <numFmt numFmtId="191" formatCode="0.0%"/>
    <numFmt numFmtId="192" formatCode="_(* #,##0.0000_);_(* \(#,##0.0000\);_(* &quot;-&quot;??_);_(@_)"/>
    <numFmt numFmtId="193" formatCode="_(* #,##0.0_);_(* \(#,##0.0\);_(* &quot;-&quot;??_);_(@_)"/>
    <numFmt numFmtId="194" formatCode="_-* #,##0.0_-;\-* #,##0.0_-;_-* &quot;-&quot;??_-;_-@_-"/>
    <numFmt numFmtId="195" formatCode="_-* #,##0_-;\-* #,##0_-;_-* &quot;-&quot;??_-;_-@_-"/>
    <numFmt numFmtId="196" formatCode="0.0000000"/>
    <numFmt numFmtId="197" formatCode="0.000000"/>
    <numFmt numFmtId="198" formatCode="0.0000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_-* #,##0.0000000_-;\-* #,##0.0000000_-;_-* &quot;-&quot;??_-;_-@_-"/>
    <numFmt numFmtId="204" formatCode="_-* #,##0.00000000_-;\-* #,##0.00000000_-;_-* &quot;-&quot;??_-;_-@_-"/>
    <numFmt numFmtId="205" formatCode="_-* #,##0.000000000_-;\-* #,##0.000000000_-;_-* &quot;-&quot;??_-;_-@_-"/>
    <numFmt numFmtId="206" formatCode="_-* #,##0.0000_-;\-* #,##0.0000_-;_-* &quot;-&quot;????_-;_-@_-"/>
    <numFmt numFmtId="207" formatCode="#,##0.0"/>
    <numFmt numFmtId="208" formatCode="_-* #,##0.000_-;\-* #,##0.000_-;_-* &quot;-&quot;???_-;_-@_-"/>
    <numFmt numFmtId="209" formatCode="[$-416]dddd\,\ d&quot; de &quot;mmmm&quot; de &quot;yyyy"/>
    <numFmt numFmtId="210" formatCode="0.000%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2"/>
      <color indexed="12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u val="single"/>
      <sz val="12"/>
      <color indexed="8"/>
      <name val="Arial"/>
      <family val="0"/>
    </font>
    <font>
      <b/>
      <sz val="6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222222"/>
      <name val="Arial"/>
      <family val="2"/>
    </font>
    <font>
      <sz val="11"/>
      <color rgb="FF222222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0E4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AAAAA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>
        <color rgb="FF1C6EA4"/>
      </left>
      <right style="medium">
        <color rgb="FFAAAAAA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3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3" fontId="0" fillId="0" borderId="0" xfId="62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3" fontId="0" fillId="0" borderId="0" xfId="62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3" fontId="0" fillId="0" borderId="11" xfId="62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3" fontId="0" fillId="0" borderId="10" xfId="62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3" fontId="0" fillId="0" borderId="12" xfId="62" applyFont="1" applyBorder="1" applyAlignment="1">
      <alignment horizontal="center" vertical="center"/>
    </xf>
    <xf numFmtId="173" fontId="2" fillId="33" borderId="13" xfId="62" applyFont="1" applyFill="1" applyBorder="1" applyAlignment="1">
      <alignment horizontal="center" vertical="center"/>
    </xf>
    <xf numFmtId="173" fontId="2" fillId="33" borderId="13" xfId="62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3" fontId="2" fillId="0" borderId="15" xfId="62" applyFont="1" applyBorder="1" applyAlignment="1">
      <alignment vertical="center"/>
    </xf>
    <xf numFmtId="173" fontId="2" fillId="0" borderId="16" xfId="62" applyFont="1" applyBorder="1" applyAlignment="1">
      <alignment vertical="center"/>
    </xf>
    <xf numFmtId="1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173" fontId="2" fillId="0" borderId="0" xfId="62" applyFont="1" applyFill="1" applyBorder="1" applyAlignment="1">
      <alignment horizontal="center" vertical="center"/>
    </xf>
    <xf numFmtId="173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3" fontId="2" fillId="0" borderId="0" xfId="62" applyFont="1" applyBorder="1" applyAlignment="1">
      <alignment vertical="center"/>
    </xf>
    <xf numFmtId="0" fontId="0" fillId="34" borderId="0" xfId="0" applyFill="1" applyAlignment="1">
      <alignment vertical="center"/>
    </xf>
    <xf numFmtId="4" fontId="0" fillId="34" borderId="0" xfId="0" applyNumberFormat="1" applyFill="1" applyAlignment="1">
      <alignment vertical="center"/>
    </xf>
    <xf numFmtId="173" fontId="0" fillId="34" borderId="0" xfId="62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173" fontId="0" fillId="0" borderId="0" xfId="62" applyFont="1" applyFill="1" applyAlignment="1">
      <alignment vertical="center"/>
    </xf>
    <xf numFmtId="173" fontId="3" fillId="0" borderId="0" xfId="62" applyFont="1" applyAlignment="1">
      <alignment vertical="center"/>
    </xf>
    <xf numFmtId="4" fontId="2" fillId="0" borderId="15" xfId="0" applyNumberFormat="1" applyFont="1" applyBorder="1" applyAlignment="1">
      <alignment horizontal="centerContinuous" vertical="center"/>
    </xf>
    <xf numFmtId="173" fontId="2" fillId="0" borderId="0" xfId="62" applyFont="1" applyAlignment="1">
      <alignment vertical="center"/>
    </xf>
    <xf numFmtId="4" fontId="2" fillId="0" borderId="0" xfId="0" applyNumberFormat="1" applyFont="1" applyAlignment="1">
      <alignment vertical="center"/>
    </xf>
    <xf numFmtId="10" fontId="2" fillId="0" borderId="0" xfId="51" applyNumberFormat="1" applyFont="1" applyBorder="1" applyAlignment="1">
      <alignment vertical="center"/>
    </xf>
    <xf numFmtId="173" fontId="0" fillId="0" borderId="0" xfId="62" applyFont="1" applyBorder="1" applyAlignment="1">
      <alignment vertical="center"/>
    </xf>
    <xf numFmtId="173" fontId="9" fillId="0" borderId="0" xfId="62" applyFont="1" applyBorder="1" applyAlignment="1">
      <alignment vertical="center"/>
    </xf>
    <xf numFmtId="9" fontId="9" fillId="0" borderId="0" xfId="51" applyFont="1" applyBorder="1" applyAlignment="1">
      <alignment vertical="center"/>
    </xf>
    <xf numFmtId="173" fontId="9" fillId="0" borderId="0" xfId="62" applyFont="1" applyAlignment="1">
      <alignment vertical="center"/>
    </xf>
    <xf numFmtId="0" fontId="9" fillId="0" borderId="0" xfId="0" applyFont="1" applyAlignment="1">
      <alignment vertical="center"/>
    </xf>
    <xf numFmtId="10" fontId="9" fillId="0" borderId="0" xfId="51" applyNumberFormat="1" applyFont="1" applyBorder="1" applyAlignment="1">
      <alignment vertical="center"/>
    </xf>
    <xf numFmtId="10" fontId="0" fillId="0" borderId="0" xfId="51" applyNumberFormat="1" applyFont="1" applyBorder="1" applyAlignment="1">
      <alignment vertical="center"/>
    </xf>
    <xf numFmtId="4" fontId="0" fillId="0" borderId="17" xfId="0" applyNumberFormat="1" applyBorder="1" applyAlignment="1">
      <alignment horizontal="centerContinuous" vertical="center"/>
    </xf>
    <xf numFmtId="173" fontId="0" fillId="0" borderId="17" xfId="62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173" fontId="0" fillId="0" borderId="11" xfId="62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12" fontId="0" fillId="0" borderId="10" xfId="0" applyNumberFormat="1" applyFont="1" applyBorder="1" applyAlignment="1">
      <alignment horizontal="center" vertical="center"/>
    </xf>
    <xf numFmtId="173" fontId="2" fillId="0" borderId="14" xfId="62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71" fontId="0" fillId="0" borderId="0" xfId="0" applyNumberFormat="1" applyFont="1" applyAlignment="1">
      <alignment vertical="center"/>
    </xf>
    <xf numFmtId="176" fontId="0" fillId="0" borderId="10" xfId="62" applyNumberFormat="1" applyFont="1" applyBorder="1" applyAlignment="1">
      <alignment horizontal="center" vertical="center"/>
    </xf>
    <xf numFmtId="173" fontId="0" fillId="0" borderId="10" xfId="62" applyNumberFormat="1" applyFont="1" applyBorder="1" applyAlignment="1">
      <alignment horizontal="center" vertical="center"/>
    </xf>
    <xf numFmtId="173" fontId="0" fillId="0" borderId="0" xfId="62" applyFont="1" applyBorder="1" applyAlignment="1">
      <alignment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173" fontId="11" fillId="33" borderId="19" xfId="62" applyFont="1" applyFill="1" applyBorder="1" applyAlignment="1">
      <alignment horizontal="center" vertical="center"/>
    </xf>
    <xf numFmtId="173" fontId="11" fillId="33" borderId="20" xfId="62" applyFont="1" applyFill="1" applyBorder="1" applyAlignment="1">
      <alignment horizontal="center" vertical="center"/>
    </xf>
    <xf numFmtId="171" fontId="0" fillId="0" borderId="0" xfId="0" applyNumberFormat="1" applyFont="1" applyAlignment="1">
      <alignment/>
    </xf>
    <xf numFmtId="173" fontId="0" fillId="0" borderId="21" xfId="62" applyFont="1" applyBorder="1" applyAlignment="1">
      <alignment horizontal="left" vertical="center"/>
    </xf>
    <xf numFmtId="173" fontId="0" fillId="0" borderId="21" xfId="62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173" fontId="0" fillId="0" borderId="17" xfId="62" applyFont="1" applyBorder="1" applyAlignment="1">
      <alignment vertical="center"/>
    </xf>
    <xf numFmtId="173" fontId="0" fillId="0" borderId="21" xfId="62" applyFont="1" applyBorder="1" applyAlignment="1">
      <alignment vertical="center"/>
    </xf>
    <xf numFmtId="176" fontId="0" fillId="0" borderId="0" xfId="62" applyNumberFormat="1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4" fontId="0" fillId="34" borderId="0" xfId="0" applyNumberFormat="1" applyFont="1" applyFill="1" applyAlignment="1">
      <alignment vertical="center"/>
    </xf>
    <xf numFmtId="173" fontId="0" fillId="34" borderId="0" xfId="62" applyFont="1" applyFill="1" applyAlignment="1">
      <alignment vertical="center"/>
    </xf>
    <xf numFmtId="173" fontId="2" fillId="0" borderId="22" xfId="62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3" fontId="8" fillId="0" borderId="0" xfId="62" applyFont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0" fontId="0" fillId="0" borderId="2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173" fontId="10" fillId="0" borderId="0" xfId="62" applyFont="1" applyAlignment="1">
      <alignment vertical="center"/>
    </xf>
    <xf numFmtId="173" fontId="5" fillId="0" borderId="14" xfId="62" applyFont="1" applyBorder="1" applyAlignment="1">
      <alignment horizontal="left" vertical="center"/>
    </xf>
    <xf numFmtId="173" fontId="5" fillId="0" borderId="0" xfId="62" applyFont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3" fontId="2" fillId="0" borderId="13" xfId="62" applyFont="1" applyBorder="1" applyAlignment="1">
      <alignment vertical="center"/>
    </xf>
    <xf numFmtId="0" fontId="13" fillId="0" borderId="0" xfId="0" applyFont="1" applyAlignment="1">
      <alignment/>
    </xf>
    <xf numFmtId="0" fontId="4" fillId="0" borderId="13" xfId="0" applyFont="1" applyBorder="1" applyAlignment="1">
      <alignment/>
    </xf>
    <xf numFmtId="173" fontId="4" fillId="0" borderId="13" xfId="62" applyFont="1" applyBorder="1" applyAlignment="1">
      <alignment horizontal="center"/>
    </xf>
    <xf numFmtId="0" fontId="15" fillId="0" borderId="0" xfId="44" applyFont="1" applyAlignment="1" applyProtection="1">
      <alignment/>
      <protection/>
    </xf>
    <xf numFmtId="0" fontId="3" fillId="35" borderId="13" xfId="0" applyFont="1" applyFill="1" applyBorder="1" applyAlignment="1">
      <alignment horizontal="left" vertical="center" wrapText="1"/>
    </xf>
    <xf numFmtId="173" fontId="3" fillId="35" borderId="13" xfId="62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horizontal="left" vertical="center" wrapText="1"/>
    </xf>
    <xf numFmtId="0" fontId="3" fillId="36" borderId="33" xfId="0" applyFont="1" applyFill="1" applyBorder="1" applyAlignment="1">
      <alignment horizontal="left" vertical="center" wrapText="1"/>
    </xf>
    <xf numFmtId="0" fontId="13" fillId="36" borderId="34" xfId="0" applyFont="1" applyFill="1" applyBorder="1" applyAlignment="1">
      <alignment horizontal="left" vertical="center" wrapText="1"/>
    </xf>
    <xf numFmtId="173" fontId="13" fillId="35" borderId="33" xfId="62" applyFont="1" applyFill="1" applyBorder="1" applyAlignment="1">
      <alignment horizontal="left" vertical="center" wrapText="1"/>
    </xf>
    <xf numFmtId="173" fontId="13" fillId="35" borderId="35" xfId="62" applyFont="1" applyFill="1" applyBorder="1" applyAlignment="1">
      <alignment horizontal="left" vertical="center" wrapText="1"/>
    </xf>
    <xf numFmtId="173" fontId="13" fillId="35" borderId="34" xfId="62" applyFont="1" applyFill="1" applyBorder="1" applyAlignment="1">
      <alignment horizontal="left" vertical="center" wrapText="1"/>
    </xf>
    <xf numFmtId="0" fontId="3" fillId="35" borderId="33" xfId="0" applyFont="1" applyFill="1" applyBorder="1" applyAlignment="1">
      <alignment horizontal="left" vertical="center" wrapText="1"/>
    </xf>
    <xf numFmtId="0" fontId="13" fillId="35" borderId="35" xfId="0" applyFont="1" applyFill="1" applyBorder="1" applyAlignment="1">
      <alignment horizontal="justify" vertical="center" wrapText="1"/>
    </xf>
    <xf numFmtId="0" fontId="13" fillId="35" borderId="34" xfId="0" applyFont="1" applyFill="1" applyBorder="1" applyAlignment="1">
      <alignment horizontal="justify" vertical="center" wrapText="1"/>
    </xf>
    <xf numFmtId="0" fontId="13" fillId="36" borderId="35" xfId="0" applyFont="1" applyFill="1" applyBorder="1" applyAlignment="1">
      <alignment horizontal="left" vertical="center" wrapText="1"/>
    </xf>
    <xf numFmtId="0" fontId="14" fillId="36" borderId="35" xfId="0" applyFont="1" applyFill="1" applyBorder="1" applyAlignment="1">
      <alignment horizontal="left" vertical="center" wrapText="1"/>
    </xf>
    <xf numFmtId="0" fontId="13" fillId="35" borderId="35" xfId="0" applyFont="1" applyFill="1" applyBorder="1" applyAlignment="1">
      <alignment horizontal="left" vertical="center" wrapText="1"/>
    </xf>
    <xf numFmtId="0" fontId="14" fillId="35" borderId="35" xfId="0" applyFont="1" applyFill="1" applyBorder="1" applyAlignment="1">
      <alignment horizontal="left" vertical="center" wrapText="1"/>
    </xf>
    <xf numFmtId="0" fontId="13" fillId="35" borderId="34" xfId="0" applyFont="1" applyFill="1" applyBorder="1" applyAlignment="1">
      <alignment horizontal="left" vertical="center" wrapText="1"/>
    </xf>
    <xf numFmtId="0" fontId="3" fillId="36" borderId="36" xfId="0" applyFont="1" applyFill="1" applyBorder="1" applyAlignment="1">
      <alignment horizontal="left" vertical="center" wrapText="1"/>
    </xf>
    <xf numFmtId="0" fontId="13" fillId="36" borderId="36" xfId="0" applyFont="1" applyFill="1" applyBorder="1" applyAlignment="1">
      <alignment horizontal="justify" vertical="center" wrapText="1"/>
    </xf>
    <xf numFmtId="173" fontId="13" fillId="36" borderId="33" xfId="62" applyFont="1" applyFill="1" applyBorder="1" applyAlignment="1">
      <alignment horizontal="left" vertical="center" wrapText="1"/>
    </xf>
    <xf numFmtId="173" fontId="13" fillId="36" borderId="35" xfId="62" applyFont="1" applyFill="1" applyBorder="1" applyAlignment="1">
      <alignment horizontal="left" vertical="center" wrapText="1"/>
    </xf>
    <xf numFmtId="173" fontId="13" fillId="36" borderId="34" xfId="62" applyFont="1" applyFill="1" applyBorder="1" applyAlignment="1">
      <alignment horizontal="left" vertical="center" wrapText="1"/>
    </xf>
    <xf numFmtId="173" fontId="13" fillId="36" borderId="13" xfId="62" applyFont="1" applyFill="1" applyBorder="1" applyAlignment="1">
      <alignment horizontal="left" vertical="center" wrapText="1"/>
    </xf>
    <xf numFmtId="0" fontId="13" fillId="36" borderId="13" xfId="0" applyFont="1" applyFill="1" applyBorder="1" applyAlignment="1">
      <alignment horizontal="justify" vertical="center" wrapText="1"/>
    </xf>
    <xf numFmtId="0" fontId="13" fillId="36" borderId="13" xfId="0" applyFont="1" applyFill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/>
    </xf>
    <xf numFmtId="173" fontId="4" fillId="0" borderId="13" xfId="62" applyNumberFormat="1" applyFont="1" applyBorder="1" applyAlignment="1">
      <alignment/>
    </xf>
    <xf numFmtId="0" fontId="4" fillId="0" borderId="13" xfId="0" applyFont="1" applyBorder="1" applyAlignment="1">
      <alignment/>
    </xf>
    <xf numFmtId="192" fontId="0" fillId="0" borderId="13" xfId="62" applyNumberFormat="1" applyFont="1" applyBorder="1" applyAlignment="1">
      <alignment vertical="center"/>
    </xf>
    <xf numFmtId="173" fontId="0" fillId="0" borderId="37" xfId="62" applyFont="1" applyBorder="1" applyAlignment="1">
      <alignment vertical="center"/>
    </xf>
    <xf numFmtId="173" fontId="0" fillId="0" borderId="38" xfId="62" applyFont="1" applyBorder="1" applyAlignment="1">
      <alignment vertical="center"/>
    </xf>
    <xf numFmtId="10" fontId="2" fillId="0" borderId="13" xfId="51" applyNumberFormat="1" applyFont="1" applyBorder="1" applyAlignment="1">
      <alignment vertical="center"/>
    </xf>
    <xf numFmtId="173" fontId="4" fillId="0" borderId="13" xfId="62" applyFont="1" applyBorder="1" applyAlignment="1">
      <alignment/>
    </xf>
    <xf numFmtId="173" fontId="4" fillId="0" borderId="0" xfId="62" applyFont="1" applyBorder="1" applyAlignment="1">
      <alignment/>
    </xf>
    <xf numFmtId="43" fontId="4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37" borderId="0" xfId="0" applyFont="1" applyFill="1" applyAlignment="1">
      <alignment vertical="center"/>
    </xf>
    <xf numFmtId="173" fontId="0" fillId="0" borderId="39" xfId="62" applyFont="1" applyBorder="1" applyAlignment="1">
      <alignment horizontal="left" vertical="center"/>
    </xf>
    <xf numFmtId="0" fontId="2" fillId="38" borderId="0" xfId="0" applyFont="1" applyFill="1" applyAlignment="1">
      <alignment vertical="center"/>
    </xf>
    <xf numFmtId="0" fontId="2" fillId="38" borderId="0" xfId="0" applyFont="1" applyFill="1" applyBorder="1" applyAlignment="1">
      <alignment vertical="center"/>
    </xf>
    <xf numFmtId="0" fontId="0" fillId="38" borderId="0" xfId="0" applyFont="1" applyFill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43" fontId="5" fillId="0" borderId="13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9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43" fontId="4" fillId="0" borderId="0" xfId="0" applyNumberFormat="1" applyFont="1" applyBorder="1" applyAlignment="1">
      <alignment/>
    </xf>
    <xf numFmtId="0" fontId="6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/>
    </xf>
    <xf numFmtId="0" fontId="5" fillId="39" borderId="14" xfId="0" applyFont="1" applyFill="1" applyBorder="1" applyAlignment="1">
      <alignment/>
    </xf>
    <xf numFmtId="43" fontId="5" fillId="0" borderId="13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173" fontId="5" fillId="0" borderId="13" xfId="62" applyFont="1" applyBorder="1" applyAlignment="1">
      <alignment/>
    </xf>
    <xf numFmtId="9" fontId="5" fillId="0" borderId="13" xfId="0" applyNumberFormat="1" applyFont="1" applyBorder="1" applyAlignment="1">
      <alignment/>
    </xf>
    <xf numFmtId="0" fontId="3" fillId="38" borderId="0" xfId="0" applyFont="1" applyFill="1" applyAlignment="1">
      <alignment vertical="center"/>
    </xf>
    <xf numFmtId="173" fontId="2" fillId="39" borderId="11" xfId="62" applyFont="1" applyFill="1" applyBorder="1" applyAlignment="1">
      <alignment horizontal="center" vertical="center"/>
    </xf>
    <xf numFmtId="173" fontId="2" fillId="37" borderId="10" xfId="62" applyFont="1" applyFill="1" applyBorder="1" applyAlignment="1">
      <alignment horizontal="center" vertical="center"/>
    </xf>
    <xf numFmtId="173" fontId="2" fillId="39" borderId="10" xfId="62" applyFont="1" applyFill="1" applyBorder="1" applyAlignment="1">
      <alignment horizontal="center" vertical="center"/>
    </xf>
    <xf numFmtId="173" fontId="2" fillId="37" borderId="0" xfId="62" applyFont="1" applyFill="1" applyAlignment="1">
      <alignment horizontal="center" vertical="center"/>
    </xf>
    <xf numFmtId="173" fontId="2" fillId="37" borderId="17" xfId="62" applyFont="1" applyFill="1" applyBorder="1" applyAlignment="1">
      <alignment horizontal="center" vertical="center"/>
    </xf>
    <xf numFmtId="173" fontId="2" fillId="39" borderId="11" xfId="62" applyFont="1" applyFill="1" applyBorder="1" applyAlignment="1">
      <alignment horizontal="center"/>
    </xf>
    <xf numFmtId="173" fontId="2" fillId="37" borderId="11" xfId="62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3" fontId="0" fillId="38" borderId="0" xfId="62" applyFont="1" applyFill="1" applyAlignment="1">
      <alignment vertical="center"/>
    </xf>
    <xf numFmtId="192" fontId="2" fillId="39" borderId="11" xfId="62" applyNumberFormat="1" applyFont="1" applyFill="1" applyBorder="1" applyAlignment="1">
      <alignment horizontal="center" vertical="center"/>
    </xf>
    <xf numFmtId="173" fontId="0" fillId="37" borderId="11" xfId="62" applyFont="1" applyFill="1" applyBorder="1" applyAlignment="1">
      <alignment horizontal="center" vertical="center"/>
    </xf>
    <xf numFmtId="173" fontId="2" fillId="39" borderId="10" xfId="62" applyNumberFormat="1" applyFont="1" applyFill="1" applyBorder="1" applyAlignment="1">
      <alignment horizontal="center" vertical="center"/>
    </xf>
    <xf numFmtId="173" fontId="2" fillId="37" borderId="10" xfId="62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4" fontId="13" fillId="0" borderId="38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173" fontId="13" fillId="0" borderId="0" xfId="62" applyFont="1" applyAlignment="1">
      <alignment vertical="center"/>
    </xf>
    <xf numFmtId="173" fontId="0" fillId="0" borderId="40" xfId="62" applyFont="1" applyBorder="1" applyAlignment="1">
      <alignment vertical="center"/>
    </xf>
    <xf numFmtId="173" fontId="0" fillId="0" borderId="41" xfId="62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76" fontId="0" fillId="0" borderId="42" xfId="62" applyNumberFormat="1" applyFont="1" applyBorder="1" applyAlignment="1">
      <alignment vertical="center"/>
    </xf>
    <xf numFmtId="173" fontId="2" fillId="0" borderId="43" xfId="62" applyFont="1" applyBorder="1" applyAlignment="1">
      <alignment horizontal="right" vertical="center"/>
    </xf>
    <xf numFmtId="176" fontId="0" fillId="0" borderId="44" xfId="62" applyNumberFormat="1" applyFont="1" applyBorder="1" applyAlignment="1">
      <alignment horizontal="center" vertical="center"/>
    </xf>
    <xf numFmtId="176" fontId="2" fillId="0" borderId="13" xfId="62" applyNumberFormat="1" applyFont="1" applyBorder="1" applyAlignment="1">
      <alignment horizontal="center" vertical="center"/>
    </xf>
    <xf numFmtId="173" fontId="0" fillId="0" borderId="30" xfId="62" applyFont="1" applyBorder="1" applyAlignment="1">
      <alignment horizontal="left" vertical="center"/>
    </xf>
    <xf numFmtId="173" fontId="0" fillId="0" borderId="31" xfId="62" applyFont="1" applyBorder="1" applyAlignment="1">
      <alignment vertical="center"/>
    </xf>
    <xf numFmtId="4" fontId="0" fillId="0" borderId="37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10" fontId="0" fillId="0" borderId="44" xfId="51" applyNumberFormat="1" applyFont="1" applyBorder="1" applyAlignment="1">
      <alignment vertical="center"/>
    </xf>
    <xf numFmtId="10" fontId="0" fillId="0" borderId="45" xfId="51" applyNumberFormat="1" applyFont="1" applyBorder="1" applyAlignment="1">
      <alignment vertical="center"/>
    </xf>
    <xf numFmtId="173" fontId="0" fillId="0" borderId="46" xfId="62" applyFont="1" applyBorder="1" applyAlignment="1">
      <alignment vertical="center"/>
    </xf>
    <xf numFmtId="173" fontId="0" fillId="0" borderId="38" xfId="0" applyNumberFormat="1" applyBorder="1" applyAlignment="1">
      <alignment vertical="center"/>
    </xf>
    <xf numFmtId="10" fontId="0" fillId="0" borderId="47" xfId="51" applyNumberFormat="1" applyFont="1" applyBorder="1" applyAlignment="1">
      <alignment vertical="center"/>
    </xf>
    <xf numFmtId="173" fontId="2" fillId="0" borderId="14" xfId="62" applyFont="1" applyBorder="1" applyAlignment="1">
      <alignment horizontal="center" vertical="center"/>
    </xf>
    <xf numFmtId="173" fontId="0" fillId="0" borderId="15" xfId="62" applyFont="1" applyBorder="1" applyAlignment="1">
      <alignment vertical="center"/>
    </xf>
    <xf numFmtId="173" fontId="2" fillId="0" borderId="13" xfId="62" applyFont="1" applyBorder="1" applyAlignment="1">
      <alignment horizontal="center" vertical="center"/>
    </xf>
    <xf numFmtId="173" fontId="2" fillId="0" borderId="34" xfId="62" applyFont="1" applyBorder="1" applyAlignment="1">
      <alignment vertical="center"/>
    </xf>
    <xf numFmtId="173" fontId="2" fillId="33" borderId="34" xfId="62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173" fontId="0" fillId="0" borderId="49" xfId="62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/>
    </xf>
    <xf numFmtId="173" fontId="0" fillId="0" borderId="49" xfId="62" applyFont="1" applyBorder="1" applyAlignment="1">
      <alignment/>
    </xf>
    <xf numFmtId="0" fontId="8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73" fontId="0" fillId="0" borderId="50" xfId="62" applyFont="1" applyBorder="1" applyAlignment="1">
      <alignment horizontal="center" vertical="center"/>
    </xf>
    <xf numFmtId="173" fontId="0" fillId="0" borderId="32" xfId="62" applyFont="1" applyBorder="1" applyAlignment="1">
      <alignment vertical="center"/>
    </xf>
    <xf numFmtId="178" fontId="2" fillId="0" borderId="34" xfId="62" applyNumberFormat="1" applyFont="1" applyBorder="1" applyAlignment="1">
      <alignment vertical="center"/>
    </xf>
    <xf numFmtId="173" fontId="0" fillId="0" borderId="51" xfId="62" applyFont="1" applyBorder="1" applyAlignment="1">
      <alignment horizontal="center" vertical="center"/>
    </xf>
    <xf numFmtId="173" fontId="2" fillId="33" borderId="34" xfId="62" applyFont="1" applyFill="1" applyBorder="1" applyAlignment="1">
      <alignment horizontal="center" vertical="center"/>
    </xf>
    <xf numFmtId="0" fontId="8" fillId="0" borderId="48" xfId="0" applyFont="1" applyBorder="1" applyAlignment="1">
      <alignment/>
    </xf>
    <xf numFmtId="0" fontId="0" fillId="0" borderId="48" xfId="0" applyFont="1" applyBorder="1" applyAlignment="1">
      <alignment/>
    </xf>
    <xf numFmtId="178" fontId="0" fillId="0" borderId="34" xfId="62" applyNumberFormat="1" applyFont="1" applyBorder="1" applyAlignment="1">
      <alignment vertical="center"/>
    </xf>
    <xf numFmtId="173" fontId="2" fillId="0" borderId="49" xfId="62" applyFont="1" applyBorder="1" applyAlignment="1">
      <alignment horizontal="center" vertical="center"/>
    </xf>
    <xf numFmtId="0" fontId="16" fillId="0" borderId="48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207" fontId="0" fillId="37" borderId="50" xfId="0" applyNumberFormat="1" applyFont="1" applyFill="1" applyBorder="1" applyAlignment="1">
      <alignment horizontal="center" vertical="center"/>
    </xf>
    <xf numFmtId="192" fontId="2" fillId="39" borderId="51" xfId="62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173" fontId="2" fillId="39" borderId="51" xfId="62" applyFont="1" applyFill="1" applyBorder="1" applyAlignment="1">
      <alignment horizontal="center" vertical="center"/>
    </xf>
    <xf numFmtId="173" fontId="0" fillId="0" borderId="49" xfId="62" applyFont="1" applyFill="1" applyBorder="1" applyAlignment="1">
      <alignment horizontal="center" vertical="center"/>
    </xf>
    <xf numFmtId="12" fontId="0" fillId="0" borderId="50" xfId="0" applyNumberFormat="1" applyFont="1" applyBorder="1" applyAlignment="1">
      <alignment horizontal="center" vertical="center"/>
    </xf>
    <xf numFmtId="173" fontId="2" fillId="37" borderId="50" xfId="62" applyNumberFormat="1" applyFont="1" applyFill="1" applyBorder="1" applyAlignment="1">
      <alignment horizontal="center" vertical="center"/>
    </xf>
    <xf numFmtId="173" fontId="0" fillId="0" borderId="50" xfId="62" applyNumberFormat="1" applyFont="1" applyBorder="1" applyAlignment="1">
      <alignment horizontal="center" vertical="center"/>
    </xf>
    <xf numFmtId="173" fontId="0" fillId="0" borderId="32" xfId="62" applyFont="1" applyFill="1" applyBorder="1" applyAlignment="1">
      <alignment horizontal="center" vertical="center"/>
    </xf>
    <xf numFmtId="173" fontId="2" fillId="39" borderId="50" xfId="62" applyNumberFormat="1" applyFont="1" applyFill="1" applyBorder="1" applyAlignment="1">
      <alignment horizontal="center" vertical="center"/>
    </xf>
    <xf numFmtId="173" fontId="2" fillId="37" borderId="0" xfId="62" applyFont="1" applyFill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173" fontId="0" fillId="0" borderId="23" xfId="62" applyFont="1" applyBorder="1" applyAlignment="1">
      <alignment vertical="center"/>
    </xf>
    <xf numFmtId="173" fontId="0" fillId="0" borderId="25" xfId="62" applyFont="1" applyBorder="1" applyAlignment="1">
      <alignment vertical="center"/>
    </xf>
    <xf numFmtId="173" fontId="0" fillId="0" borderId="53" xfId="62" applyFont="1" applyBorder="1" applyAlignment="1">
      <alignment vertical="center"/>
    </xf>
    <xf numFmtId="173" fontId="2" fillId="0" borderId="18" xfId="62" applyFont="1" applyBorder="1" applyAlignment="1">
      <alignment vertical="center"/>
    </xf>
    <xf numFmtId="10" fontId="2" fillId="0" borderId="20" xfId="51" applyNumberFormat="1" applyFont="1" applyBorder="1" applyAlignment="1">
      <alignment vertical="center"/>
    </xf>
    <xf numFmtId="173" fontId="0" fillId="0" borderId="23" xfId="62" applyFont="1" applyBorder="1" applyAlignment="1">
      <alignment vertical="center"/>
    </xf>
    <xf numFmtId="173" fontId="0" fillId="0" borderId="26" xfId="62" applyFont="1" applyBorder="1" applyAlignment="1">
      <alignment vertical="center"/>
    </xf>
    <xf numFmtId="173" fontId="2" fillId="0" borderId="54" xfId="62" applyFont="1" applyBorder="1" applyAlignment="1">
      <alignment vertical="center"/>
    </xf>
    <xf numFmtId="10" fontId="2" fillId="0" borderId="22" xfId="51" applyNumberFormat="1" applyFont="1" applyBorder="1" applyAlignment="1">
      <alignment vertical="center"/>
    </xf>
    <xf numFmtId="173" fontId="19" fillId="0" borderId="13" xfId="62" applyFont="1" applyBorder="1" applyAlignment="1">
      <alignment vertical="center"/>
    </xf>
    <xf numFmtId="10" fontId="2" fillId="39" borderId="55" xfId="0" applyNumberFormat="1" applyFont="1" applyFill="1" applyBorder="1" applyAlignment="1">
      <alignment horizontal="center" vertical="center"/>
    </xf>
    <xf numFmtId="10" fontId="2" fillId="39" borderId="56" xfId="0" applyNumberFormat="1" applyFont="1" applyFill="1" applyBorder="1" applyAlignment="1">
      <alignment horizontal="center" vertical="center"/>
    </xf>
    <xf numFmtId="173" fontId="2" fillId="38" borderId="13" xfId="62" applyFont="1" applyFill="1" applyBorder="1" applyAlignment="1">
      <alignment horizontal="center" vertical="center"/>
    </xf>
    <xf numFmtId="173" fontId="2" fillId="38" borderId="13" xfId="62" applyFont="1" applyFill="1" applyBorder="1" applyAlignment="1">
      <alignment vertical="center"/>
    </xf>
    <xf numFmtId="173" fontId="3" fillId="38" borderId="13" xfId="62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vertical="center"/>
    </xf>
    <xf numFmtId="0" fontId="0" fillId="38" borderId="15" xfId="0" applyFont="1" applyFill="1" applyBorder="1" applyAlignment="1">
      <alignment vertical="center"/>
    </xf>
    <xf numFmtId="173" fontId="0" fillId="38" borderId="15" xfId="62" applyFont="1" applyFill="1" applyBorder="1" applyAlignment="1">
      <alignment vertical="center"/>
    </xf>
    <xf numFmtId="173" fontId="0" fillId="38" borderId="16" xfId="62" applyFont="1" applyFill="1" applyBorder="1" applyAlignment="1">
      <alignment vertical="center"/>
    </xf>
    <xf numFmtId="0" fontId="2" fillId="38" borderId="15" xfId="0" applyFont="1" applyFill="1" applyBorder="1" applyAlignment="1">
      <alignment vertical="center"/>
    </xf>
    <xf numFmtId="173" fontId="2" fillId="38" borderId="15" xfId="62" applyFont="1" applyFill="1" applyBorder="1" applyAlignment="1">
      <alignment vertical="center"/>
    </xf>
    <xf numFmtId="173" fontId="2" fillId="38" borderId="16" xfId="62" applyFont="1" applyFill="1" applyBorder="1" applyAlignment="1">
      <alignment vertical="center"/>
    </xf>
    <xf numFmtId="173" fontId="5" fillId="38" borderId="13" xfId="62" applyFont="1" applyFill="1" applyBorder="1" applyAlignment="1">
      <alignment vertical="center"/>
    </xf>
    <xf numFmtId="0" fontId="2" fillId="38" borderId="14" xfId="0" applyFont="1" applyFill="1" applyBorder="1" applyAlignment="1">
      <alignment vertical="center" wrapText="1"/>
    </xf>
    <xf numFmtId="10" fontId="2" fillId="38" borderId="13" xfId="0" applyNumberFormat="1" applyFont="1" applyFill="1" applyBorder="1" applyAlignment="1">
      <alignment horizontal="center" vertical="center" wrapText="1"/>
    </xf>
    <xf numFmtId="173" fontId="2" fillId="0" borderId="20" xfId="62" applyFont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vertical="center"/>
    </xf>
    <xf numFmtId="0" fontId="0" fillId="37" borderId="0" xfId="0" applyFont="1" applyFill="1" applyAlignment="1">
      <alignment horizontal="center" vertical="center"/>
    </xf>
    <xf numFmtId="10" fontId="0" fillId="37" borderId="10" xfId="0" applyNumberFormat="1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173" fontId="2" fillId="37" borderId="12" xfId="62" applyFont="1" applyFill="1" applyBorder="1" applyAlignment="1">
      <alignment horizontal="center" vertical="center"/>
    </xf>
    <xf numFmtId="10" fontId="0" fillId="39" borderId="55" xfId="51" applyNumberFormat="1" applyFont="1" applyFill="1" applyBorder="1" applyAlignment="1">
      <alignment vertical="center"/>
    </xf>
    <xf numFmtId="10" fontId="0" fillId="39" borderId="56" xfId="51" applyNumberFormat="1" applyFont="1" applyFill="1" applyBorder="1" applyAlignment="1">
      <alignment vertical="center"/>
    </xf>
    <xf numFmtId="10" fontId="0" fillId="39" borderId="57" xfId="51" applyNumberFormat="1" applyFont="1" applyFill="1" applyBorder="1" applyAlignment="1">
      <alignment vertical="center"/>
    </xf>
    <xf numFmtId="10" fontId="0" fillId="39" borderId="55" xfId="51" applyNumberFormat="1" applyFont="1" applyFill="1" applyBorder="1" applyAlignment="1">
      <alignment vertical="center"/>
    </xf>
    <xf numFmtId="10" fontId="0" fillId="39" borderId="57" xfId="51" applyNumberFormat="1" applyFont="1" applyFill="1" applyBorder="1" applyAlignment="1">
      <alignment vertical="center"/>
    </xf>
    <xf numFmtId="10" fontId="0" fillId="39" borderId="42" xfId="51" applyNumberFormat="1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0" fillId="0" borderId="5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3" fontId="2" fillId="39" borderId="12" xfId="62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3" fontId="2" fillId="39" borderId="19" xfId="62" applyFont="1" applyFill="1" applyBorder="1" applyAlignment="1">
      <alignment horizontal="center" vertical="center"/>
    </xf>
    <xf numFmtId="43" fontId="5" fillId="37" borderId="13" xfId="0" applyNumberFormat="1" applyFont="1" applyFill="1" applyBorder="1" applyAlignment="1">
      <alignment/>
    </xf>
    <xf numFmtId="2" fontId="0" fillId="0" borderId="5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3" fontId="3" fillId="0" borderId="0" xfId="6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3" fontId="0" fillId="0" borderId="0" xfId="62" applyFont="1" applyFill="1" applyBorder="1" applyAlignment="1">
      <alignment vertical="center"/>
    </xf>
    <xf numFmtId="173" fontId="2" fillId="0" borderId="0" xfId="62" applyFont="1" applyFill="1" applyBorder="1" applyAlignment="1">
      <alignment vertical="center"/>
    </xf>
    <xf numFmtId="13" fontId="0" fillId="0" borderId="12" xfId="0" applyNumberFormat="1" applyFont="1" applyBorder="1" applyAlignment="1">
      <alignment vertical="center"/>
    </xf>
    <xf numFmtId="13" fontId="0" fillId="0" borderId="12" xfId="0" applyNumberFormat="1" applyFont="1" applyBorder="1" applyAlignment="1">
      <alignment horizontal="center" vertical="center"/>
    </xf>
    <xf numFmtId="173" fontId="0" fillId="0" borderId="58" xfId="62" applyFont="1" applyBorder="1" applyAlignment="1">
      <alignment horizontal="center" vertical="center"/>
    </xf>
    <xf numFmtId="173" fontId="2" fillId="37" borderId="19" xfId="62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16" fillId="0" borderId="53" xfId="0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73" fontId="0" fillId="37" borderId="12" xfId="62" applyFont="1" applyFill="1" applyBorder="1" applyAlignment="1">
      <alignment horizontal="center" vertical="center"/>
    </xf>
    <xf numFmtId="173" fontId="5" fillId="0" borderId="0" xfId="62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192" fontId="0" fillId="0" borderId="0" xfId="62" applyNumberFormat="1" applyFont="1" applyBorder="1" applyAlignment="1">
      <alignment vertical="center"/>
    </xf>
    <xf numFmtId="184" fontId="2" fillId="39" borderId="56" xfId="0" applyNumberFormat="1" applyFont="1" applyFill="1" applyBorder="1" applyAlignment="1">
      <alignment horizontal="center" vertical="center"/>
    </xf>
    <xf numFmtId="184" fontId="2" fillId="39" borderId="42" xfId="0" applyNumberFormat="1" applyFont="1" applyFill="1" applyBorder="1" applyAlignment="1">
      <alignment horizontal="center" vertical="center"/>
    </xf>
    <xf numFmtId="173" fontId="1" fillId="0" borderId="0" xfId="62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3" fontId="4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43" fontId="5" fillId="0" borderId="14" xfId="0" applyNumberFormat="1" applyFont="1" applyBorder="1" applyAlignment="1">
      <alignment horizontal="center"/>
    </xf>
    <xf numFmtId="43" fontId="5" fillId="0" borderId="16" xfId="0" applyNumberFormat="1" applyFont="1" applyBorder="1" applyAlignment="1">
      <alignment horizontal="center"/>
    </xf>
    <xf numFmtId="173" fontId="4" fillId="0" borderId="14" xfId="62" applyFont="1" applyBorder="1" applyAlignment="1">
      <alignment horizontal="center"/>
    </xf>
    <xf numFmtId="173" fontId="4" fillId="0" borderId="16" xfId="62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60" fillId="0" borderId="14" xfId="0" applyFont="1" applyBorder="1" applyAlignment="1">
      <alignment horizontal="left"/>
    </xf>
    <xf numFmtId="0" fontId="60" fillId="0" borderId="15" xfId="0" applyFont="1" applyBorder="1" applyAlignment="1">
      <alignment horizontal="left"/>
    </xf>
    <xf numFmtId="0" fontId="60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1" fillId="0" borderId="14" xfId="0" applyFont="1" applyBorder="1" applyAlignment="1">
      <alignment horizontal="left"/>
    </xf>
    <xf numFmtId="0" fontId="61" fillId="0" borderId="15" xfId="0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3" fontId="4" fillId="37" borderId="14" xfId="0" applyNumberFormat="1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3" fontId="0" fillId="0" borderId="59" xfId="62" applyFont="1" applyBorder="1" applyAlignment="1">
      <alignment horizontal="left" vertical="center"/>
    </xf>
    <xf numFmtId="173" fontId="0" fillId="0" borderId="17" xfId="62" applyFont="1" applyBorder="1" applyAlignment="1">
      <alignment horizontal="left" vertical="center"/>
    </xf>
    <xf numFmtId="180" fontId="0" fillId="0" borderId="21" xfId="0" applyNumberFormat="1" applyBorder="1" applyAlignment="1">
      <alignment horizontal="right" vertical="center"/>
    </xf>
    <xf numFmtId="180" fontId="0" fillId="0" borderId="60" xfId="0" applyNumberFormat="1" applyBorder="1" applyAlignment="1">
      <alignment horizontal="right" vertical="center"/>
    </xf>
    <xf numFmtId="0" fontId="0" fillId="37" borderId="14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180" fontId="0" fillId="0" borderId="61" xfId="0" applyNumberFormat="1" applyBorder="1" applyAlignment="1">
      <alignment horizontal="right" vertical="center"/>
    </xf>
    <xf numFmtId="180" fontId="0" fillId="0" borderId="62" xfId="0" applyNumberFormat="1" applyBorder="1" applyAlignment="1">
      <alignment horizontal="right" vertical="center"/>
    </xf>
    <xf numFmtId="180" fontId="0" fillId="0" borderId="40" xfId="0" applyNumberFormat="1" applyBorder="1" applyAlignment="1">
      <alignment horizontal="right" vertical="center"/>
    </xf>
    <xf numFmtId="180" fontId="0" fillId="0" borderId="63" xfId="0" applyNumberFormat="1" applyBorder="1" applyAlignment="1">
      <alignment horizontal="right" vertical="center"/>
    </xf>
    <xf numFmtId="173" fontId="2" fillId="0" borderId="18" xfId="62" applyFont="1" applyBorder="1" applyAlignment="1">
      <alignment horizontal="center" vertical="center"/>
    </xf>
    <xf numFmtId="173" fontId="2" fillId="0" borderId="20" xfId="62" applyFont="1" applyBorder="1" applyAlignment="1">
      <alignment horizontal="center" vertical="center"/>
    </xf>
    <xf numFmtId="180" fontId="0" fillId="0" borderId="64" xfId="0" applyNumberFormat="1" applyBorder="1" applyAlignment="1">
      <alignment horizontal="right" vertical="center"/>
    </xf>
    <xf numFmtId="180" fontId="0" fillId="0" borderId="65" xfId="0" applyNumberForma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6"/>
    </xf>
    <xf numFmtId="173" fontId="2" fillId="0" borderId="23" xfId="62" applyFont="1" applyBorder="1" applyAlignment="1">
      <alignment horizontal="center" vertical="center"/>
    </xf>
    <xf numFmtId="173" fontId="2" fillId="0" borderId="24" xfId="62" applyFont="1" applyBorder="1" applyAlignment="1">
      <alignment horizontal="center" vertical="center"/>
    </xf>
    <xf numFmtId="173" fontId="2" fillId="0" borderId="66" xfId="62" applyFont="1" applyBorder="1" applyAlignment="1">
      <alignment horizontal="center" vertical="center"/>
    </xf>
    <xf numFmtId="173" fontId="0" fillId="0" borderId="21" xfId="62" applyFont="1" applyBorder="1" applyAlignment="1">
      <alignment horizontal="left" vertical="center"/>
    </xf>
    <xf numFmtId="173" fontId="0" fillId="0" borderId="17" xfId="62" applyFont="1" applyBorder="1" applyAlignment="1">
      <alignment horizontal="left" vertical="center"/>
    </xf>
    <xf numFmtId="170" fontId="2" fillId="0" borderId="14" xfId="0" applyNumberFormat="1" applyFont="1" applyBorder="1" applyAlignment="1">
      <alignment horizontal="right" vertical="center"/>
    </xf>
    <xf numFmtId="170" fontId="2" fillId="0" borderId="16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35" borderId="33" xfId="0" applyFont="1" applyFill="1" applyBorder="1" applyAlignment="1">
      <alignment horizontal="left" vertical="center" wrapText="1"/>
    </xf>
    <xf numFmtId="0" fontId="13" fillId="35" borderId="35" xfId="0" applyFont="1" applyFill="1" applyBorder="1" applyAlignment="1">
      <alignment horizontal="left" vertical="center" wrapText="1"/>
    </xf>
    <xf numFmtId="0" fontId="13" fillId="35" borderId="34" xfId="0" applyFont="1" applyFill="1" applyBorder="1" applyAlignment="1">
      <alignment horizontal="left" vertical="center" wrapText="1"/>
    </xf>
    <xf numFmtId="173" fontId="13" fillId="35" borderId="33" xfId="62" applyFont="1" applyFill="1" applyBorder="1" applyAlignment="1">
      <alignment horizontal="left" vertical="center" wrapText="1"/>
    </xf>
    <xf numFmtId="173" fontId="13" fillId="35" borderId="35" xfId="62" applyFont="1" applyFill="1" applyBorder="1" applyAlignment="1">
      <alignment horizontal="left" vertical="center" wrapText="1"/>
    </xf>
    <xf numFmtId="173" fontId="13" fillId="35" borderId="34" xfId="62" applyFont="1" applyFill="1" applyBorder="1" applyAlignment="1">
      <alignment horizontal="left" vertical="center" wrapText="1"/>
    </xf>
    <xf numFmtId="0" fontId="13" fillId="36" borderId="68" xfId="0" applyFont="1" applyFill="1" applyBorder="1" applyAlignment="1">
      <alignment horizontal="left" vertical="center" wrapText="1"/>
    </xf>
    <xf numFmtId="0" fontId="13" fillId="36" borderId="33" xfId="0" applyFont="1" applyFill="1" applyBorder="1" applyAlignment="1">
      <alignment horizontal="left" vertical="center" wrapText="1"/>
    </xf>
    <xf numFmtId="0" fontId="13" fillId="36" borderId="34" xfId="0" applyFont="1" applyFill="1" applyBorder="1" applyAlignment="1">
      <alignment horizontal="left" vertical="center" wrapText="1"/>
    </xf>
    <xf numFmtId="173" fontId="13" fillId="36" borderId="33" xfId="62" applyFont="1" applyFill="1" applyBorder="1" applyAlignment="1">
      <alignment horizontal="left" vertical="center" wrapText="1"/>
    </xf>
    <xf numFmtId="173" fontId="13" fillId="36" borderId="34" xfId="62" applyFont="1" applyFill="1" applyBorder="1" applyAlignment="1">
      <alignment horizontal="left" vertical="center" wrapText="1"/>
    </xf>
    <xf numFmtId="0" fontId="13" fillId="36" borderId="35" xfId="0" applyFont="1" applyFill="1" applyBorder="1" applyAlignment="1">
      <alignment horizontal="left" vertical="center" wrapText="1"/>
    </xf>
    <xf numFmtId="173" fontId="13" fillId="36" borderId="35" xfId="62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3</xdr:col>
      <xdr:colOff>200025</xdr:colOff>
      <xdr:row>4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9525" y="38100"/>
          <a:ext cx="1609725" cy="838200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T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E N Ç Ã 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Somente é permitido alteração nas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células na cor amarela.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0</xdr:col>
      <xdr:colOff>1666875</xdr:colOff>
      <xdr:row>5</xdr:row>
      <xdr:rowOff>171450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7150" y="76200"/>
          <a:ext cx="1609725" cy="962025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T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E N Ç Ã 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Somente é permitido alteração nas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células na cor amarela.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citacao.online/planilha/modulo44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10">
      <selection activeCell="L18" sqref="L18"/>
    </sheetView>
  </sheetViews>
  <sheetFormatPr defaultColWidth="9.140625" defaultRowHeight="12.75"/>
  <cols>
    <col min="1" max="2" width="9.140625" style="142" customWidth="1"/>
    <col min="3" max="3" width="3.00390625" style="142" customWidth="1"/>
    <col min="4" max="4" width="7.28125" style="142" customWidth="1"/>
    <col min="5" max="5" width="11.28125" style="142" customWidth="1"/>
    <col min="6" max="6" width="11.57421875" style="142" bestFit="1" customWidth="1"/>
    <col min="7" max="7" width="10.7109375" style="142" customWidth="1"/>
    <col min="8" max="8" width="12.140625" style="142" customWidth="1"/>
    <col min="9" max="9" width="24.8515625" style="142" customWidth="1"/>
    <col min="10" max="10" width="10.57421875" style="142" customWidth="1"/>
    <col min="11" max="11" width="9.140625" style="142" customWidth="1"/>
    <col min="12" max="12" width="82.140625" style="142" customWidth="1"/>
    <col min="13" max="16384" width="9.140625" style="142" customWidth="1"/>
  </cols>
  <sheetData>
    <row r="1" spans="1:9" ht="15">
      <c r="A1" s="345" t="s">
        <v>110</v>
      </c>
      <c r="B1" s="345"/>
      <c r="C1" s="345"/>
      <c r="D1" s="345"/>
      <c r="E1" s="345"/>
      <c r="F1" s="345"/>
      <c r="G1" s="345"/>
      <c r="H1" s="345"/>
      <c r="I1" s="345"/>
    </row>
    <row r="2" spans="1:9" ht="15">
      <c r="A2" s="345" t="s">
        <v>302</v>
      </c>
      <c r="B2" s="345"/>
      <c r="C2" s="345"/>
      <c r="D2" s="345"/>
      <c r="E2" s="345"/>
      <c r="F2" s="345"/>
      <c r="G2" s="345"/>
      <c r="H2" s="345"/>
      <c r="I2" s="345"/>
    </row>
    <row r="3" spans="1:9" ht="15">
      <c r="A3" s="345" t="s">
        <v>109</v>
      </c>
      <c r="B3" s="345"/>
      <c r="C3" s="345"/>
      <c r="D3" s="345"/>
      <c r="E3" s="345"/>
      <c r="F3" s="345"/>
      <c r="G3" s="345"/>
      <c r="H3" s="345"/>
      <c r="I3" s="345"/>
    </row>
    <row r="4" spans="1:9" ht="15">
      <c r="A4" s="143"/>
      <c r="B4" s="143"/>
      <c r="C4" s="143"/>
      <c r="D4" s="143"/>
      <c r="E4" s="143"/>
      <c r="F4" s="143"/>
      <c r="G4" s="143"/>
      <c r="H4" s="143"/>
      <c r="I4" s="143"/>
    </row>
    <row r="6" spans="1:9" ht="15">
      <c r="A6" s="345" t="s">
        <v>266</v>
      </c>
      <c r="B6" s="345"/>
      <c r="C6" s="345"/>
      <c r="D6" s="345"/>
      <c r="E6" s="345"/>
      <c r="F6" s="345"/>
      <c r="G6" s="345"/>
      <c r="H6" s="345"/>
      <c r="I6" s="345"/>
    </row>
    <row r="7" spans="1:12" ht="14.25">
      <c r="A7" s="142" t="s">
        <v>272</v>
      </c>
      <c r="L7" s="163"/>
    </row>
    <row r="8" ht="14.25">
      <c r="A8" s="142" t="s">
        <v>273</v>
      </c>
    </row>
    <row r="9" ht="14.25">
      <c r="A9" s="142" t="s">
        <v>274</v>
      </c>
    </row>
    <row r="10" ht="14.25">
      <c r="A10" s="142" t="s">
        <v>277</v>
      </c>
    </row>
    <row r="11" ht="14.25">
      <c r="A11" s="142" t="s">
        <v>276</v>
      </c>
    </row>
    <row r="13" ht="14.25">
      <c r="A13" s="142" t="s">
        <v>213</v>
      </c>
    </row>
    <row r="14" ht="14.25">
      <c r="A14" s="142" t="s">
        <v>278</v>
      </c>
    </row>
    <row r="15" ht="14.25">
      <c r="A15" s="142" t="s">
        <v>210</v>
      </c>
    </row>
    <row r="17" ht="14.25">
      <c r="A17" s="142" t="s">
        <v>244</v>
      </c>
    </row>
    <row r="18" ht="14.25">
      <c r="A18" s="142" t="s">
        <v>245</v>
      </c>
    </row>
    <row r="19" ht="14.25">
      <c r="A19" s="142" t="s">
        <v>246</v>
      </c>
    </row>
    <row r="20" ht="14.25">
      <c r="A20" s="145" t="s">
        <v>111</v>
      </c>
    </row>
    <row r="21" ht="14.25">
      <c r="A21" s="145"/>
    </row>
    <row r="22" ht="14.25">
      <c r="A22" s="145" t="s">
        <v>303</v>
      </c>
    </row>
    <row r="23" ht="14.25">
      <c r="A23" s="145" t="s">
        <v>304</v>
      </c>
    </row>
    <row r="24" ht="14.25">
      <c r="A24" s="145" t="s">
        <v>314</v>
      </c>
    </row>
    <row r="25" ht="14.25">
      <c r="A25" s="145" t="s">
        <v>311</v>
      </c>
    </row>
    <row r="26" ht="14.25">
      <c r="A26" s="145"/>
    </row>
    <row r="27" ht="14.25">
      <c r="A27" s="145" t="s">
        <v>116</v>
      </c>
    </row>
    <row r="28" ht="15.75" thickBot="1">
      <c r="A28" s="144" t="s">
        <v>214</v>
      </c>
    </row>
    <row r="29" spans="1:9" ht="15.75" thickBot="1">
      <c r="A29" s="165" t="s">
        <v>114</v>
      </c>
      <c r="B29" s="166"/>
      <c r="C29" s="166"/>
      <c r="D29" s="167"/>
      <c r="E29" s="168" t="s">
        <v>117</v>
      </c>
      <c r="F29" s="335" t="s">
        <v>118</v>
      </c>
      <c r="G29" s="336"/>
      <c r="H29" s="169" t="s">
        <v>119</v>
      </c>
      <c r="I29" s="168" t="s">
        <v>235</v>
      </c>
    </row>
    <row r="30" spans="1:9" ht="15" thickBot="1">
      <c r="A30" s="146" t="s">
        <v>115</v>
      </c>
      <c r="B30" s="147"/>
      <c r="C30" s="147"/>
      <c r="D30" s="148"/>
      <c r="E30" s="97">
        <v>3</v>
      </c>
      <c r="F30" s="337">
        <v>4.33</v>
      </c>
      <c r="G30" s="327"/>
      <c r="H30" s="98">
        <v>23.2</v>
      </c>
      <c r="I30" s="135">
        <f>E30*F30*H30</f>
        <v>301.368</v>
      </c>
    </row>
    <row r="31" spans="1:9" ht="15" thickBot="1">
      <c r="A31" s="149" t="s">
        <v>305</v>
      </c>
      <c r="B31" s="147"/>
      <c r="C31" s="147"/>
      <c r="D31" s="148"/>
      <c r="E31" s="128">
        <v>1</v>
      </c>
      <c r="F31" s="337">
        <v>1</v>
      </c>
      <c r="G31" s="327"/>
      <c r="H31" s="133">
        <v>63</v>
      </c>
      <c r="I31" s="135">
        <f>E31*F31*H31</f>
        <v>63</v>
      </c>
    </row>
    <row r="32" spans="1:9" ht="15.75" thickBot="1">
      <c r="A32" s="146" t="s">
        <v>121</v>
      </c>
      <c r="B32" s="166"/>
      <c r="C32" s="166"/>
      <c r="D32" s="167"/>
      <c r="E32" s="151">
        <f>SUM(E30:E31)</f>
        <v>4</v>
      </c>
      <c r="F32" s="335"/>
      <c r="G32" s="336"/>
      <c r="H32" s="151"/>
      <c r="I32" s="152">
        <f>SUM(I30:I31)</f>
        <v>364.368</v>
      </c>
    </row>
    <row r="33" spans="1:9" ht="14.25">
      <c r="A33" s="153"/>
      <c r="B33" s="154"/>
      <c r="C33" s="154"/>
      <c r="D33" s="154"/>
      <c r="E33" s="154"/>
      <c r="F33" s="156"/>
      <c r="G33" s="156"/>
      <c r="H33" s="154"/>
      <c r="I33" s="158"/>
    </row>
    <row r="34" spans="1:9" ht="15.75" thickBot="1">
      <c r="A34" s="170" t="s">
        <v>122</v>
      </c>
      <c r="B34" s="154"/>
      <c r="C34" s="154"/>
      <c r="D34" s="154"/>
      <c r="E34" s="154"/>
      <c r="F34" s="156"/>
      <c r="G34" s="156"/>
      <c r="H34" s="154"/>
      <c r="I34" s="158"/>
    </row>
    <row r="35" spans="1:9" ht="15.75" thickBot="1">
      <c r="A35" s="346" t="s">
        <v>114</v>
      </c>
      <c r="B35" s="347"/>
      <c r="C35" s="347"/>
      <c r="D35" s="348"/>
      <c r="E35" s="168" t="s">
        <v>117</v>
      </c>
      <c r="F35" s="335" t="s">
        <v>123</v>
      </c>
      <c r="G35" s="336"/>
      <c r="H35" s="168" t="s">
        <v>119</v>
      </c>
      <c r="I35" s="168" t="s">
        <v>120</v>
      </c>
    </row>
    <row r="36" spans="1:9" ht="15" thickBot="1">
      <c r="A36" s="352" t="s">
        <v>306</v>
      </c>
      <c r="B36" s="353"/>
      <c r="C36" s="353"/>
      <c r="D36" s="354"/>
      <c r="E36" s="97">
        <v>3</v>
      </c>
      <c r="F36" s="337">
        <v>4.33</v>
      </c>
      <c r="G36" s="327"/>
      <c r="H36" s="98">
        <v>43.2</v>
      </c>
      <c r="I36" s="135">
        <f>E36*F36*H36</f>
        <v>561.168</v>
      </c>
    </row>
    <row r="37" spans="1:9" ht="15" thickBot="1">
      <c r="A37" s="155"/>
      <c r="B37" s="155"/>
      <c r="C37" s="155"/>
      <c r="D37" s="155"/>
      <c r="E37" s="154"/>
      <c r="F37" s="156"/>
      <c r="G37" s="156"/>
      <c r="H37" s="154"/>
      <c r="I37" s="158"/>
    </row>
    <row r="38" spans="1:9" ht="15.75" customHeight="1" thickBot="1">
      <c r="A38" s="346" t="s">
        <v>114</v>
      </c>
      <c r="B38" s="347"/>
      <c r="C38" s="347"/>
      <c r="D38" s="347"/>
      <c r="E38" s="347"/>
      <c r="F38" s="355" t="s">
        <v>216</v>
      </c>
      <c r="G38" s="356"/>
      <c r="H38" s="150" t="s">
        <v>124</v>
      </c>
      <c r="I38" s="152" t="s">
        <v>176</v>
      </c>
    </row>
    <row r="39" spans="1:9" ht="15.75" thickBot="1">
      <c r="A39" s="171" t="s">
        <v>307</v>
      </c>
      <c r="B39" s="172"/>
      <c r="C39" s="172"/>
      <c r="D39" s="173"/>
      <c r="E39" s="147"/>
      <c r="F39" s="357"/>
      <c r="G39" s="358"/>
      <c r="H39" s="174"/>
      <c r="I39" s="152">
        <f>I32+I36</f>
        <v>925.5360000000001</v>
      </c>
    </row>
    <row r="40" spans="1:9" ht="14.25">
      <c r="A40" s="155" t="s">
        <v>217</v>
      </c>
      <c r="B40" s="155"/>
      <c r="C40" s="155"/>
      <c r="D40" s="155"/>
      <c r="E40" s="156"/>
      <c r="F40" s="156"/>
      <c r="G40" s="156"/>
      <c r="H40" s="156"/>
      <c r="I40" s="164"/>
    </row>
    <row r="41" spans="1:9" ht="14.25">
      <c r="A41" s="155"/>
      <c r="B41" s="155"/>
      <c r="C41" s="155"/>
      <c r="D41" s="155"/>
      <c r="E41" s="156"/>
      <c r="F41" s="156"/>
      <c r="G41" s="156"/>
      <c r="H41" s="156"/>
      <c r="I41" s="158"/>
    </row>
    <row r="42" ht="14.25">
      <c r="A42" s="142" t="s">
        <v>247</v>
      </c>
    </row>
    <row r="43" ht="14.25">
      <c r="A43" s="142" t="s">
        <v>112</v>
      </c>
    </row>
    <row r="44" ht="14.25">
      <c r="A44" s="142" t="s">
        <v>279</v>
      </c>
    </row>
    <row r="45" ht="14.25">
      <c r="A45" s="142" t="s">
        <v>281</v>
      </c>
    </row>
    <row r="46" ht="14.25">
      <c r="A46" s="142" t="s">
        <v>280</v>
      </c>
    </row>
    <row r="48" spans="1:9" ht="14.25">
      <c r="A48" s="338" t="s">
        <v>313</v>
      </c>
      <c r="B48" s="338"/>
      <c r="C48" s="338"/>
      <c r="D48" s="338"/>
      <c r="E48" s="338"/>
      <c r="F48" s="338"/>
      <c r="G48" s="338"/>
      <c r="H48" s="338"/>
      <c r="I48" s="338"/>
    </row>
    <row r="49" ht="14.25">
      <c r="A49" s="142" t="s">
        <v>308</v>
      </c>
    </row>
    <row r="51" ht="14.25">
      <c r="A51" s="142" t="s">
        <v>248</v>
      </c>
    </row>
    <row r="52" ht="14.25">
      <c r="A52" s="142" t="s">
        <v>174</v>
      </c>
    </row>
    <row r="53" ht="15" thickBot="1"/>
    <row r="54" spans="1:7" ht="15.75" thickBot="1">
      <c r="A54" s="349" t="s">
        <v>82</v>
      </c>
      <c r="B54" s="350"/>
      <c r="C54" s="350"/>
      <c r="D54" s="351"/>
      <c r="E54" s="151" t="s">
        <v>176</v>
      </c>
      <c r="F54" s="151" t="s">
        <v>177</v>
      </c>
      <c r="G54" s="290" t="s">
        <v>178</v>
      </c>
    </row>
    <row r="55" spans="1:7" ht="15" thickBot="1">
      <c r="A55" s="339" t="s">
        <v>218</v>
      </c>
      <c r="B55" s="340"/>
      <c r="C55" s="340"/>
      <c r="D55" s="341"/>
      <c r="E55" s="126">
        <f>I32</f>
        <v>364.368</v>
      </c>
      <c r="F55" s="128">
        <v>2.2</v>
      </c>
      <c r="G55" s="127">
        <f>E55/F55</f>
        <v>165.62181818181816</v>
      </c>
    </row>
    <row r="56" spans="1:7" ht="15" thickBot="1">
      <c r="A56" s="339" t="s">
        <v>219</v>
      </c>
      <c r="B56" s="340"/>
      <c r="C56" s="340"/>
      <c r="D56" s="341"/>
      <c r="E56" s="126">
        <f>I36</f>
        <v>561.168</v>
      </c>
      <c r="F56" s="128">
        <v>4.1</v>
      </c>
      <c r="G56" s="126">
        <f>E56/F56</f>
        <v>136.87024390243903</v>
      </c>
    </row>
    <row r="57" spans="1:7" ht="15.75" thickBot="1">
      <c r="A57" s="349" t="s">
        <v>175</v>
      </c>
      <c r="B57" s="350"/>
      <c r="C57" s="350"/>
      <c r="D57" s="351"/>
      <c r="E57" s="297">
        <f>SUM(E55:E56)</f>
        <v>925.5360000000001</v>
      </c>
      <c r="F57" s="151"/>
      <c r="G57" s="175">
        <f>SUM(G55:G56)</f>
        <v>302.4920620842572</v>
      </c>
    </row>
    <row r="59" ht="14.25">
      <c r="A59" s="142" t="s">
        <v>220</v>
      </c>
    </row>
    <row r="60" ht="14.25">
      <c r="A60" s="142" t="s">
        <v>113</v>
      </c>
    </row>
    <row r="61" ht="14.25">
      <c r="A61" s="142" t="s">
        <v>221</v>
      </c>
    </row>
    <row r="62" ht="14.25">
      <c r="A62" s="142" t="s">
        <v>249</v>
      </c>
    </row>
    <row r="63" ht="14.25">
      <c r="A63" s="142" t="s">
        <v>267</v>
      </c>
    </row>
    <row r="64" ht="14.25">
      <c r="A64" s="142" t="s">
        <v>268</v>
      </c>
    </row>
    <row r="66" ht="14.25">
      <c r="A66" s="142" t="s">
        <v>187</v>
      </c>
    </row>
    <row r="67" ht="14.25">
      <c r="A67" s="142" t="s">
        <v>288</v>
      </c>
    </row>
    <row r="68" ht="15" thickBot="1">
      <c r="A68" s="142" t="s">
        <v>269</v>
      </c>
    </row>
    <row r="69" spans="1:6" ht="15" thickBot="1">
      <c r="A69" s="342" t="s">
        <v>309</v>
      </c>
      <c r="B69" s="343"/>
      <c r="C69" s="343"/>
      <c r="D69" s="344"/>
      <c r="E69" s="333">
        <v>500</v>
      </c>
      <c r="F69" s="334"/>
    </row>
    <row r="70" spans="1:6" ht="15" thickBot="1">
      <c r="A70" s="320" t="s">
        <v>188</v>
      </c>
      <c r="B70" s="321"/>
      <c r="C70" s="321"/>
      <c r="D70" s="322"/>
      <c r="E70" s="333">
        <v>23000</v>
      </c>
      <c r="F70" s="334"/>
    </row>
    <row r="71" spans="1:6" ht="15" thickBot="1">
      <c r="A71" s="320" t="s">
        <v>189</v>
      </c>
      <c r="B71" s="321"/>
      <c r="C71" s="321"/>
      <c r="D71" s="322"/>
      <c r="E71" s="359">
        <f>E57</f>
        <v>925.5360000000001</v>
      </c>
      <c r="F71" s="360"/>
    </row>
    <row r="72" spans="1:6" ht="15" thickBot="1">
      <c r="A72" s="342" t="s">
        <v>190</v>
      </c>
      <c r="B72" s="343"/>
      <c r="C72" s="343"/>
      <c r="D72" s="344"/>
      <c r="E72" s="333">
        <f>E70/E71</f>
        <v>24.85046502783252</v>
      </c>
      <c r="F72" s="334"/>
    </row>
    <row r="73" spans="1:6" ht="15.75" thickBot="1">
      <c r="A73" s="367" t="s">
        <v>191</v>
      </c>
      <c r="B73" s="368"/>
      <c r="C73" s="368"/>
      <c r="D73" s="369"/>
      <c r="E73" s="331">
        <f>E69/E72</f>
        <v>20.120347826086956</v>
      </c>
      <c r="F73" s="336"/>
    </row>
    <row r="75" ht="15" thickBot="1">
      <c r="A75" s="142" t="s">
        <v>181</v>
      </c>
    </row>
    <row r="76" spans="1:6" ht="15" thickBot="1">
      <c r="A76" s="320" t="s">
        <v>182</v>
      </c>
      <c r="B76" s="321"/>
      <c r="C76" s="321"/>
      <c r="D76" s="322"/>
      <c r="E76" s="333">
        <v>230000</v>
      </c>
      <c r="F76" s="334"/>
    </row>
    <row r="77" spans="1:6" ht="15" thickBot="1">
      <c r="A77" s="320" t="s">
        <v>184</v>
      </c>
      <c r="B77" s="321"/>
      <c r="C77" s="321"/>
      <c r="D77" s="322"/>
      <c r="E77" s="333">
        <v>69000</v>
      </c>
      <c r="F77" s="334"/>
    </row>
    <row r="78" spans="1:6" ht="15" thickBot="1">
      <c r="A78" s="320" t="s">
        <v>185</v>
      </c>
      <c r="B78" s="321"/>
      <c r="C78" s="321"/>
      <c r="D78" s="322"/>
      <c r="E78" s="326">
        <f>E76-E77</f>
        <v>161000</v>
      </c>
      <c r="F78" s="327"/>
    </row>
    <row r="79" spans="1:6" ht="15" thickBot="1">
      <c r="A79" s="320" t="s">
        <v>183</v>
      </c>
      <c r="B79" s="321"/>
      <c r="C79" s="321"/>
      <c r="D79" s="322"/>
      <c r="E79" s="337">
        <v>120</v>
      </c>
      <c r="F79" s="327"/>
    </row>
    <row r="80" spans="1:6" ht="15.75" thickBot="1">
      <c r="A80" s="323" t="s">
        <v>186</v>
      </c>
      <c r="B80" s="324"/>
      <c r="C80" s="324"/>
      <c r="D80" s="325"/>
      <c r="E80" s="331">
        <f>E78/E79</f>
        <v>1341.6666666666667</v>
      </c>
      <c r="F80" s="336"/>
    </row>
    <row r="81" spans="1:6" ht="14.25">
      <c r="A81" s="157"/>
      <c r="B81" s="157"/>
      <c r="C81" s="157"/>
      <c r="D81" s="157"/>
      <c r="E81" s="158"/>
      <c r="F81" s="156"/>
    </row>
    <row r="82" ht="15" thickBot="1">
      <c r="A82" s="142" t="s">
        <v>242</v>
      </c>
    </row>
    <row r="83" spans="1:6" ht="15" thickBot="1">
      <c r="A83" s="320" t="s">
        <v>182</v>
      </c>
      <c r="B83" s="321"/>
      <c r="C83" s="321"/>
      <c r="D83" s="322"/>
      <c r="E83" s="333">
        <v>20000</v>
      </c>
      <c r="F83" s="334"/>
    </row>
    <row r="84" spans="1:12" ht="15" thickBot="1">
      <c r="A84" s="320" t="s">
        <v>184</v>
      </c>
      <c r="B84" s="321"/>
      <c r="C84" s="321"/>
      <c r="D84" s="322"/>
      <c r="E84" s="333">
        <v>2000</v>
      </c>
      <c r="F84" s="334"/>
      <c r="L84" s="142" t="s">
        <v>215</v>
      </c>
    </row>
    <row r="85" spans="1:6" ht="15" thickBot="1">
      <c r="A85" s="320" t="s">
        <v>185</v>
      </c>
      <c r="B85" s="321"/>
      <c r="C85" s="321"/>
      <c r="D85" s="322"/>
      <c r="E85" s="326">
        <f>E83-E84</f>
        <v>18000</v>
      </c>
      <c r="F85" s="327"/>
    </row>
    <row r="86" spans="1:6" ht="15" thickBot="1">
      <c r="A86" s="342" t="s">
        <v>183</v>
      </c>
      <c r="B86" s="343"/>
      <c r="C86" s="343"/>
      <c r="D86" s="344"/>
      <c r="E86" s="337">
        <v>120</v>
      </c>
      <c r="F86" s="327"/>
    </row>
    <row r="87" spans="1:6" ht="15" thickBot="1">
      <c r="A87" s="320" t="s">
        <v>186</v>
      </c>
      <c r="B87" s="321"/>
      <c r="C87" s="321"/>
      <c r="D87" s="322"/>
      <c r="E87" s="326">
        <f>E85/E86</f>
        <v>150</v>
      </c>
      <c r="F87" s="327"/>
    </row>
    <row r="88" spans="1:6" ht="15.75" thickBot="1">
      <c r="A88" s="328" t="s">
        <v>243</v>
      </c>
      <c r="B88" s="329"/>
      <c r="C88" s="329"/>
      <c r="D88" s="330"/>
      <c r="E88" s="331">
        <f>E80+E87</f>
        <v>1491.6666666666667</v>
      </c>
      <c r="F88" s="332"/>
    </row>
    <row r="89" spans="1:6" ht="14.25">
      <c r="A89" s="159"/>
      <c r="B89" s="159"/>
      <c r="C89" s="159"/>
      <c r="D89" s="159"/>
      <c r="E89" s="158"/>
      <c r="F89" s="158"/>
    </row>
    <row r="90" ht="14.25">
      <c r="A90" s="142" t="s">
        <v>310</v>
      </c>
    </row>
    <row r="91" ht="14.25">
      <c r="A91" s="142" t="s">
        <v>215</v>
      </c>
    </row>
    <row r="92" ht="14.25">
      <c r="A92" s="142" t="s">
        <v>179</v>
      </c>
    </row>
    <row r="93" ht="14.25">
      <c r="A93" s="142" t="s">
        <v>180</v>
      </c>
    </row>
    <row r="95" ht="14.25">
      <c r="A95" s="142" t="s">
        <v>125</v>
      </c>
    </row>
    <row r="96" ht="14.25">
      <c r="A96" s="142" t="s">
        <v>126</v>
      </c>
    </row>
    <row r="97" ht="14.25">
      <c r="A97" s="142" t="s">
        <v>127</v>
      </c>
    </row>
    <row r="99" ht="14.25">
      <c r="A99" s="142" t="s">
        <v>130</v>
      </c>
    </row>
    <row r="100" ht="14.25">
      <c r="A100" s="142" t="s">
        <v>236</v>
      </c>
    </row>
    <row r="101" ht="14.25">
      <c r="A101" s="142" t="s">
        <v>133</v>
      </c>
    </row>
    <row r="102" ht="14.25">
      <c r="A102" s="142" t="s">
        <v>167</v>
      </c>
    </row>
    <row r="103" ht="14.25">
      <c r="A103" s="142" t="s">
        <v>168</v>
      </c>
    </row>
    <row r="104" ht="14.25">
      <c r="A104" s="142" t="s">
        <v>275</v>
      </c>
    </row>
    <row r="106" ht="14.25">
      <c r="A106" s="142" t="s">
        <v>233</v>
      </c>
    </row>
    <row r="107" ht="14.25">
      <c r="A107" s="142" t="s">
        <v>234</v>
      </c>
    </row>
    <row r="109" ht="14.25">
      <c r="A109" s="142" t="s">
        <v>134</v>
      </c>
    </row>
    <row r="110" ht="14.25">
      <c r="A110" s="142" t="s">
        <v>135</v>
      </c>
    </row>
    <row r="111" ht="14.25">
      <c r="A111" s="142" t="s">
        <v>136</v>
      </c>
    </row>
    <row r="113" ht="14.25">
      <c r="A113" s="142" t="s">
        <v>128</v>
      </c>
    </row>
    <row r="114" ht="14.25">
      <c r="A114" s="142" t="s">
        <v>222</v>
      </c>
    </row>
    <row r="115" ht="14.25">
      <c r="A115" s="142" t="s">
        <v>223</v>
      </c>
    </row>
    <row r="116" ht="14.25">
      <c r="A116" s="142" t="s">
        <v>224</v>
      </c>
    </row>
    <row r="117" ht="14.25">
      <c r="A117" s="142" t="s">
        <v>129</v>
      </c>
    </row>
    <row r="118" ht="14.25">
      <c r="A118" s="142" t="s">
        <v>225</v>
      </c>
    </row>
    <row r="119" ht="14.25">
      <c r="A119" s="142" t="s">
        <v>131</v>
      </c>
    </row>
    <row r="120" ht="14.25">
      <c r="A120" s="142" t="s">
        <v>226</v>
      </c>
    </row>
    <row r="121" ht="14.25">
      <c r="A121" s="142" t="s">
        <v>227</v>
      </c>
    </row>
    <row r="122" ht="14.25">
      <c r="A122" s="142" t="s">
        <v>228</v>
      </c>
    </row>
    <row r="123" ht="14.25">
      <c r="A123" s="142" t="s">
        <v>229</v>
      </c>
    </row>
    <row r="125" ht="14.25">
      <c r="A125" s="142" t="s">
        <v>230</v>
      </c>
    </row>
    <row r="126" ht="14.25">
      <c r="A126" s="142" t="s">
        <v>292</v>
      </c>
    </row>
    <row r="128" ht="14.25">
      <c r="A128" s="142" t="s">
        <v>231</v>
      </c>
    </row>
    <row r="129" ht="14.25">
      <c r="A129" s="142" t="s">
        <v>298</v>
      </c>
    </row>
    <row r="130" ht="14.25">
      <c r="A130" s="142" t="s">
        <v>293</v>
      </c>
    </row>
    <row r="131" ht="14.25">
      <c r="A131" s="142" t="s">
        <v>294</v>
      </c>
    </row>
    <row r="133" ht="14.25">
      <c r="A133" s="142" t="s">
        <v>169</v>
      </c>
    </row>
    <row r="134" ht="14.25">
      <c r="A134" s="142" t="s">
        <v>170</v>
      </c>
    </row>
    <row r="135" ht="14.25">
      <c r="A135" s="142" t="s">
        <v>171</v>
      </c>
    </row>
    <row r="136" ht="14.25">
      <c r="A136" s="142" t="s">
        <v>172</v>
      </c>
    </row>
    <row r="138" ht="15" thickBot="1">
      <c r="A138" s="142" t="s">
        <v>200</v>
      </c>
    </row>
    <row r="139" spans="1:7" ht="15" thickBot="1">
      <c r="A139" s="361" t="s">
        <v>196</v>
      </c>
      <c r="B139" s="362"/>
      <c r="C139" s="362"/>
      <c r="D139" s="363"/>
      <c r="E139" s="128">
        <v>1</v>
      </c>
      <c r="F139" s="128">
        <v>1425.43</v>
      </c>
      <c r="G139" s="133">
        <f>E139*F139</f>
        <v>1425.43</v>
      </c>
    </row>
    <row r="140" spans="1:7" ht="15" thickBot="1">
      <c r="A140" s="361" t="s">
        <v>211</v>
      </c>
      <c r="B140" s="362"/>
      <c r="C140" s="362"/>
      <c r="D140" s="363"/>
      <c r="E140" s="128">
        <v>1</v>
      </c>
      <c r="F140" s="133">
        <v>325</v>
      </c>
      <c r="G140" s="133">
        <f>E140*F140</f>
        <v>325</v>
      </c>
    </row>
    <row r="141" spans="1:7" ht="15" thickBot="1">
      <c r="A141" s="361" t="s">
        <v>212</v>
      </c>
      <c r="B141" s="362"/>
      <c r="C141" s="362"/>
      <c r="D141" s="363"/>
      <c r="E141" s="128">
        <v>1</v>
      </c>
      <c r="F141" s="133">
        <v>56.29</v>
      </c>
      <c r="G141" s="133">
        <f>E141*F141</f>
        <v>56.29</v>
      </c>
    </row>
    <row r="142" spans="1:7" ht="15" thickBot="1">
      <c r="A142" s="361" t="s">
        <v>193</v>
      </c>
      <c r="B142" s="362"/>
      <c r="C142" s="362"/>
      <c r="D142" s="363"/>
      <c r="E142" s="160">
        <v>0.2</v>
      </c>
      <c r="F142" s="128"/>
      <c r="G142" s="133">
        <f>E142*(G139+G140+G141)</f>
        <v>361.34400000000005</v>
      </c>
    </row>
    <row r="143" spans="1:7" ht="15" thickBot="1">
      <c r="A143" s="361" t="s">
        <v>75</v>
      </c>
      <c r="B143" s="362"/>
      <c r="C143" s="362"/>
      <c r="D143" s="363"/>
      <c r="E143" s="128"/>
      <c r="F143" s="128"/>
      <c r="G143" s="133">
        <f>G139+G142+G140+G141</f>
        <v>2168.0640000000003</v>
      </c>
    </row>
    <row r="144" spans="1:7" ht="15" thickBot="1">
      <c r="A144" s="361" t="s">
        <v>5</v>
      </c>
      <c r="B144" s="362"/>
      <c r="C144" s="362"/>
      <c r="D144" s="363"/>
      <c r="E144" s="161">
        <f>'Planilha Composição de Custos'!B201</f>
        <v>0.16800000000000004</v>
      </c>
      <c r="F144" s="128"/>
      <c r="G144" s="133">
        <f>G143*E144</f>
        <v>364.2347520000001</v>
      </c>
    </row>
    <row r="145" spans="1:7" ht="15" thickBot="1">
      <c r="A145" s="361" t="s">
        <v>197</v>
      </c>
      <c r="B145" s="362"/>
      <c r="C145" s="362"/>
      <c r="D145" s="363"/>
      <c r="E145" s="161">
        <f>'Planilha Composição de Custos'!B218</f>
        <v>0.31629999999999997</v>
      </c>
      <c r="F145" s="128"/>
      <c r="G145" s="133">
        <f>(G143+G144)*E145</f>
        <v>800.9660952576002</v>
      </c>
    </row>
    <row r="146" spans="1:7" ht="15" thickBot="1">
      <c r="A146" s="361" t="s">
        <v>198</v>
      </c>
      <c r="B146" s="362"/>
      <c r="C146" s="362"/>
      <c r="D146" s="363"/>
      <c r="E146" s="128"/>
      <c r="F146" s="128"/>
      <c r="G146" s="133">
        <f>G143+G144+G145</f>
        <v>3333.2648472576006</v>
      </c>
    </row>
    <row r="147" spans="1:7" ht="15.75" thickBot="1">
      <c r="A147" s="364" t="s">
        <v>199</v>
      </c>
      <c r="B147" s="365"/>
      <c r="C147" s="365"/>
      <c r="D147" s="366"/>
      <c r="E147" s="176">
        <v>0.375</v>
      </c>
      <c r="F147" s="151"/>
      <c r="G147" s="177">
        <f>G146*E147</f>
        <v>1249.9743177216003</v>
      </c>
    </row>
    <row r="148" spans="1:7" ht="14.25">
      <c r="A148" s="159" t="s">
        <v>232</v>
      </c>
      <c r="B148" s="159"/>
      <c r="C148" s="159"/>
      <c r="D148" s="159"/>
      <c r="E148" s="162"/>
      <c r="F148" s="154"/>
      <c r="G148" s="134"/>
    </row>
    <row r="150" ht="15" thickBot="1">
      <c r="A150" s="142" t="s">
        <v>201</v>
      </c>
    </row>
    <row r="151" spans="1:7" ht="15" thickBot="1">
      <c r="A151" s="361" t="s">
        <v>196</v>
      </c>
      <c r="B151" s="362"/>
      <c r="C151" s="362"/>
      <c r="D151" s="363"/>
      <c r="E151" s="128">
        <v>3</v>
      </c>
      <c r="F151" s="133">
        <v>1196.47</v>
      </c>
      <c r="G151" s="133">
        <f>E151*F151</f>
        <v>3589.41</v>
      </c>
    </row>
    <row r="152" spans="1:7" ht="15" thickBot="1">
      <c r="A152" s="361" t="s">
        <v>193</v>
      </c>
      <c r="B152" s="362"/>
      <c r="C152" s="362"/>
      <c r="D152" s="363"/>
      <c r="E152" s="160">
        <v>0.4</v>
      </c>
      <c r="F152" s="128"/>
      <c r="G152" s="133">
        <f>G151*E152</f>
        <v>1435.7640000000001</v>
      </c>
    </row>
    <row r="153" spans="1:7" ht="15" thickBot="1">
      <c r="A153" s="361" t="s">
        <v>75</v>
      </c>
      <c r="B153" s="362"/>
      <c r="C153" s="362"/>
      <c r="D153" s="363"/>
      <c r="E153" s="128"/>
      <c r="F153" s="128"/>
      <c r="G153" s="133">
        <f>G151+G152</f>
        <v>5025.174</v>
      </c>
    </row>
    <row r="154" spans="1:7" ht="15" thickBot="1">
      <c r="A154" s="370" t="s">
        <v>239</v>
      </c>
      <c r="B154" s="371"/>
      <c r="C154" s="371"/>
      <c r="D154" s="372"/>
      <c r="E154" s="161">
        <f>'Planilha Composição de Custos'!B201</f>
        <v>0.16800000000000004</v>
      </c>
      <c r="F154" s="128"/>
      <c r="G154" s="133">
        <f>G153*E154</f>
        <v>844.2292320000001</v>
      </c>
    </row>
    <row r="155" spans="1:7" ht="15" thickBot="1">
      <c r="A155" s="370" t="s">
        <v>238</v>
      </c>
      <c r="B155" s="371"/>
      <c r="C155" s="371"/>
      <c r="D155" s="372"/>
      <c r="E155" s="161">
        <f>'Planilha Composição de Custos'!B218</f>
        <v>0.31629999999999997</v>
      </c>
      <c r="F155" s="128"/>
      <c r="G155" s="133">
        <f>(G153+G154)*E155</f>
        <v>1856.4922422816</v>
      </c>
    </row>
    <row r="156" spans="1:7" ht="15" thickBot="1">
      <c r="A156" s="370" t="s">
        <v>198</v>
      </c>
      <c r="B156" s="371"/>
      <c r="C156" s="371"/>
      <c r="D156" s="372"/>
      <c r="E156" s="128"/>
      <c r="F156" s="128"/>
      <c r="G156" s="133">
        <f>G153+G154+G155</f>
        <v>7725.8954742816</v>
      </c>
    </row>
    <row r="157" spans="1:7" ht="15.75" thickBot="1">
      <c r="A157" s="364" t="s">
        <v>199</v>
      </c>
      <c r="B157" s="365"/>
      <c r="C157" s="365"/>
      <c r="D157" s="366"/>
      <c r="E157" s="178">
        <v>0.6</v>
      </c>
      <c r="F157" s="151"/>
      <c r="G157" s="175">
        <f>G156*E157</f>
        <v>4635.53728456896</v>
      </c>
    </row>
    <row r="158" ht="15" thickBot="1"/>
    <row r="159" spans="1:7" ht="15.75" thickBot="1">
      <c r="A159" s="364" t="s">
        <v>202</v>
      </c>
      <c r="B159" s="365"/>
      <c r="C159" s="365"/>
      <c r="D159" s="366"/>
      <c r="E159" s="151"/>
      <c r="F159" s="151"/>
      <c r="G159" s="175">
        <f>G147+G157</f>
        <v>5885.51160229056</v>
      </c>
    </row>
    <row r="161" ht="14.25">
      <c r="A161" s="142" t="s">
        <v>291</v>
      </c>
    </row>
    <row r="162" ht="14.25">
      <c r="A162" s="142" t="s">
        <v>295</v>
      </c>
    </row>
    <row r="163" ht="14.25">
      <c r="A163" s="142" t="s">
        <v>296</v>
      </c>
    </row>
  </sheetData>
  <sheetProtection/>
  <mergeCells count="69">
    <mergeCell ref="A159:D159"/>
    <mergeCell ref="A140:D140"/>
    <mergeCell ref="A141:D141"/>
    <mergeCell ref="A152:D152"/>
    <mergeCell ref="A153:D153"/>
    <mergeCell ref="A154:D154"/>
    <mergeCell ref="A155:D155"/>
    <mergeCell ref="A156:D156"/>
    <mergeCell ref="A157:D157"/>
    <mergeCell ref="A143:D143"/>
    <mergeCell ref="A144:D144"/>
    <mergeCell ref="A145:D145"/>
    <mergeCell ref="A146:D146"/>
    <mergeCell ref="A147:D147"/>
    <mergeCell ref="A151:D151"/>
    <mergeCell ref="A72:D72"/>
    <mergeCell ref="A142:D142"/>
    <mergeCell ref="A139:D139"/>
    <mergeCell ref="A73:D73"/>
    <mergeCell ref="A79:D79"/>
    <mergeCell ref="E69:F69"/>
    <mergeCell ref="E70:F70"/>
    <mergeCell ref="A71:D71"/>
    <mergeCell ref="E71:F71"/>
    <mergeCell ref="A86:D86"/>
    <mergeCell ref="E86:F86"/>
    <mergeCell ref="E77:F77"/>
    <mergeCell ref="E78:F78"/>
    <mergeCell ref="A70:D70"/>
    <mergeCell ref="E72:F72"/>
    <mergeCell ref="F31:G31"/>
    <mergeCell ref="A36:D36"/>
    <mergeCell ref="F32:G32"/>
    <mergeCell ref="E76:F76"/>
    <mergeCell ref="A6:I6"/>
    <mergeCell ref="E73:F73"/>
    <mergeCell ref="F36:G36"/>
    <mergeCell ref="A38:E38"/>
    <mergeCell ref="F38:G38"/>
    <mergeCell ref="F39:G39"/>
    <mergeCell ref="A55:D55"/>
    <mergeCell ref="A56:D56"/>
    <mergeCell ref="A69:D69"/>
    <mergeCell ref="A1:I1"/>
    <mergeCell ref="A2:I2"/>
    <mergeCell ref="A3:I3"/>
    <mergeCell ref="A35:D35"/>
    <mergeCell ref="F35:G35"/>
    <mergeCell ref="A57:D57"/>
    <mergeCell ref="A54:D54"/>
    <mergeCell ref="F29:G29"/>
    <mergeCell ref="F30:G30"/>
    <mergeCell ref="A84:D84"/>
    <mergeCell ref="E84:F84"/>
    <mergeCell ref="E79:F79"/>
    <mergeCell ref="E80:F80"/>
    <mergeCell ref="A77:D77"/>
    <mergeCell ref="A78:D78"/>
    <mergeCell ref="A76:D76"/>
    <mergeCell ref="A48:I48"/>
    <mergeCell ref="A85:D85"/>
    <mergeCell ref="A80:D80"/>
    <mergeCell ref="A87:D87"/>
    <mergeCell ref="E87:F87"/>
    <mergeCell ref="A88:D88"/>
    <mergeCell ref="E88:F88"/>
    <mergeCell ref="E85:F85"/>
    <mergeCell ref="A83:D83"/>
    <mergeCell ref="E83:F8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4"/>
  <sheetViews>
    <sheetView view="pageBreakPreview" zoomScaleSheetLayoutView="100" zoomScalePageLayoutView="0" workbookViewId="0" topLeftCell="A220">
      <selection activeCell="F170" sqref="F170"/>
    </sheetView>
  </sheetViews>
  <sheetFormatPr defaultColWidth="9.140625" defaultRowHeight="12.75"/>
  <cols>
    <col min="1" max="1" width="33.7109375" style="6" customWidth="1"/>
    <col min="2" max="2" width="10.140625" style="6" customWidth="1"/>
    <col min="3" max="3" width="9.8515625" style="6" customWidth="1"/>
    <col min="4" max="4" width="13.8515625" style="7" customWidth="1"/>
    <col min="5" max="5" width="12.57421875" style="7" customWidth="1"/>
    <col min="6" max="6" width="13.28125" style="7" customWidth="1"/>
    <col min="7" max="7" width="12.140625" style="6" customWidth="1"/>
    <col min="8" max="8" width="5.00390625" style="6" customWidth="1"/>
    <col min="9" max="13" width="9.140625" style="6" customWidth="1"/>
    <col min="14" max="14" width="3.57421875" style="6" customWidth="1"/>
    <col min="15" max="16384" width="9.140625" style="6" customWidth="1"/>
  </cols>
  <sheetData>
    <row r="1" spans="1:6" s="4" customFormat="1" ht="15.75">
      <c r="A1" s="373" t="s">
        <v>312</v>
      </c>
      <c r="B1" s="373"/>
      <c r="C1" s="373"/>
      <c r="D1" s="373"/>
      <c r="E1" s="373"/>
      <c r="F1" s="373"/>
    </row>
    <row r="2" spans="1:6" s="4" customFormat="1" ht="15">
      <c r="A2" s="393" t="s">
        <v>109</v>
      </c>
      <c r="B2" s="393"/>
      <c r="C2" s="393"/>
      <c r="D2" s="393"/>
      <c r="E2" s="393"/>
      <c r="F2" s="393"/>
    </row>
    <row r="3" spans="1:6" s="4" customFormat="1" ht="15" customHeight="1">
      <c r="A3" s="194"/>
      <c r="B3" s="195"/>
      <c r="C3" s="195"/>
      <c r="D3" s="195"/>
      <c r="E3" s="195"/>
      <c r="F3" s="195"/>
    </row>
    <row r="4" spans="1:6" s="4" customFormat="1" ht="6.75" customHeight="1">
      <c r="A4" s="187"/>
      <c r="B4" s="196"/>
      <c r="C4" s="196"/>
      <c r="D4" s="197"/>
      <c r="E4" s="197"/>
      <c r="F4" s="197"/>
    </row>
    <row r="5" spans="1:21" s="5" customFormat="1" ht="15.75">
      <c r="A5" s="394" t="s">
        <v>297</v>
      </c>
      <c r="B5" s="394"/>
      <c r="C5" s="394"/>
      <c r="D5" s="394"/>
      <c r="E5" s="394"/>
      <c r="F5" s="394"/>
      <c r="P5" s="4"/>
      <c r="Q5" s="4"/>
      <c r="R5" s="4"/>
      <c r="S5" s="4"/>
      <c r="T5" s="4"/>
      <c r="U5" s="4"/>
    </row>
    <row r="6" spans="1:21" s="5" customFormat="1" ht="15.75">
      <c r="A6" s="384" t="s">
        <v>51</v>
      </c>
      <c r="B6" s="384"/>
      <c r="C6" s="384"/>
      <c r="D6" s="384"/>
      <c r="E6" s="384"/>
      <c r="F6" s="384"/>
      <c r="P6" s="4"/>
      <c r="Q6" s="4"/>
      <c r="R6" s="4"/>
      <c r="S6" s="4"/>
      <c r="T6" s="4"/>
      <c r="U6" s="4"/>
    </row>
    <row r="7" spans="1:6" s="4" customFormat="1" ht="10.5" customHeight="1">
      <c r="A7" s="34"/>
      <c r="B7" s="35"/>
      <c r="C7" s="35"/>
      <c r="D7" s="36"/>
      <c r="E7" s="36"/>
      <c r="F7" s="36"/>
    </row>
    <row r="8" spans="1:6" s="4" customFormat="1" ht="15.75" customHeight="1" thickBot="1">
      <c r="A8" s="37" t="s">
        <v>28</v>
      </c>
      <c r="B8" s="3"/>
      <c r="C8" s="3"/>
      <c r="D8" s="3"/>
      <c r="E8" s="3"/>
      <c r="F8" s="3"/>
    </row>
    <row r="9" spans="1:6" s="4" customFormat="1" ht="15.75" customHeight="1" thickBot="1">
      <c r="A9" s="214" t="s">
        <v>29</v>
      </c>
      <c r="B9" s="215"/>
      <c r="C9" s="215"/>
      <c r="D9" s="389" t="s">
        <v>30</v>
      </c>
      <c r="E9" s="390"/>
      <c r="F9" s="216" t="s">
        <v>3</v>
      </c>
    </row>
    <row r="10" spans="1:6" s="4" customFormat="1" ht="18" customHeight="1">
      <c r="A10" s="211" t="str">
        <f>+A32</f>
        <v>1. Mão de obra</v>
      </c>
      <c r="B10" s="212"/>
      <c r="C10" s="131"/>
      <c r="D10" s="391">
        <f>F61+689.63</f>
        <v>5029.962507434239</v>
      </c>
      <c r="E10" s="392"/>
      <c r="F10" s="213">
        <f>+D10/$D$17</f>
        <v>0.46944951798275114</v>
      </c>
    </row>
    <row r="11" spans="1:6" s="4" customFormat="1" ht="18" customHeight="1">
      <c r="A11" s="398" t="str">
        <f>+A64</f>
        <v>2. Uniformes e Equipamentos de Proteção Individual</v>
      </c>
      <c r="B11" s="399"/>
      <c r="C11" s="399"/>
      <c r="D11" s="385">
        <f>+F94</f>
        <v>478.07975</v>
      </c>
      <c r="E11" s="386"/>
      <c r="F11" s="209">
        <f>+D11/$D$17</f>
        <v>0.04461947934265957</v>
      </c>
    </row>
    <row r="12" spans="1:6" s="4" customFormat="1" ht="18" customHeight="1">
      <c r="A12" s="67" t="str">
        <f>+A97</f>
        <v>3. Veículo</v>
      </c>
      <c r="B12" s="49"/>
      <c r="C12" s="50"/>
      <c r="D12" s="385">
        <f>+F144</f>
        <v>2735.8580543140847</v>
      </c>
      <c r="E12" s="386"/>
      <c r="F12" s="209">
        <f>+D12/$D$17</f>
        <v>0.2553393276726657</v>
      </c>
    </row>
    <row r="13" spans="1:6" s="4" customFormat="1" ht="18" customHeight="1">
      <c r="A13" s="68" t="str">
        <f>+A147</f>
        <v>4. Ferramentas e Materiais de Consumo</v>
      </c>
      <c r="B13" s="49"/>
      <c r="C13" s="50"/>
      <c r="D13" s="385">
        <f>+F163</f>
        <v>0</v>
      </c>
      <c r="E13" s="386"/>
      <c r="F13" s="209">
        <f>+D13/$D$17</f>
        <v>0</v>
      </c>
    </row>
    <row r="14" spans="1:6" s="4" customFormat="1" ht="18" customHeight="1">
      <c r="A14" s="138" t="s">
        <v>260</v>
      </c>
      <c r="B14" s="207"/>
      <c r="C14" s="130"/>
      <c r="D14" s="379">
        <f>F171</f>
        <v>0</v>
      </c>
      <c r="E14" s="380"/>
      <c r="F14" s="209">
        <f>+D14/$D$17</f>
        <v>0</v>
      </c>
    </row>
    <row r="15" spans="1:6" s="4" customFormat="1" ht="18" customHeight="1">
      <c r="A15" s="377" t="s">
        <v>205</v>
      </c>
      <c r="B15" s="378"/>
      <c r="C15" s="378"/>
      <c r="D15" s="379">
        <f>SUM(D10:E14)</f>
        <v>8243.900311748324</v>
      </c>
      <c r="E15" s="380"/>
      <c r="F15" s="209">
        <v>0</v>
      </c>
    </row>
    <row r="16" spans="1:6" s="4" customFormat="1" ht="18" customHeight="1" thickBot="1">
      <c r="A16" s="205" t="str">
        <f>+A177</f>
        <v>6. Benefícios e Despesas Indiretas - BDI</v>
      </c>
      <c r="B16" s="208"/>
      <c r="C16" s="206"/>
      <c r="D16" s="387">
        <f>D15*C234</f>
        <v>2470.696923430973</v>
      </c>
      <c r="E16" s="388"/>
      <c r="F16" s="210">
        <f>D16/D17</f>
        <v>0.23059167500192354</v>
      </c>
    </row>
    <row r="17" spans="1:6" s="4" customFormat="1" ht="15.75" customHeight="1" thickBot="1">
      <c r="A17" s="92" t="s">
        <v>286</v>
      </c>
      <c r="B17" s="38"/>
      <c r="C17" s="22"/>
      <c r="D17" s="400">
        <f>D15+D16</f>
        <v>10714.597235179297</v>
      </c>
      <c r="E17" s="401"/>
      <c r="F17" s="132">
        <f>SUM(F10:F16)</f>
        <v>0.9999999999999999</v>
      </c>
    </row>
    <row r="18" ht="11.25" customHeight="1"/>
    <row r="19" spans="1:6" s="4" customFormat="1" ht="7.5" customHeight="1">
      <c r="A19" s="31"/>
      <c r="B19" s="32"/>
      <c r="C19" s="32"/>
      <c r="D19" s="33"/>
      <c r="E19" s="33"/>
      <c r="F19" s="33"/>
    </row>
    <row r="20" ht="11.25" customHeight="1"/>
    <row r="21" spans="1:6" s="4" customFormat="1" ht="15" customHeight="1" thickBot="1">
      <c r="A21" s="93" t="s">
        <v>31</v>
      </c>
      <c r="B21" s="7"/>
      <c r="C21" s="7"/>
      <c r="D21" s="7"/>
      <c r="E21" s="7"/>
      <c r="F21" s="7"/>
    </row>
    <row r="22" spans="1:6" s="4" customFormat="1" ht="15" customHeight="1">
      <c r="A22" s="395" t="s">
        <v>209</v>
      </c>
      <c r="B22" s="396"/>
      <c r="C22" s="397"/>
      <c r="D22" s="202" t="s">
        <v>32</v>
      </c>
      <c r="E22" s="28"/>
      <c r="F22" s="7"/>
    </row>
    <row r="23" spans="1:6" s="4" customFormat="1" ht="15" customHeight="1">
      <c r="A23" s="71" t="str">
        <f>+A34</f>
        <v>1.1. Operário Turno do Dia</v>
      </c>
      <c r="B23" s="70"/>
      <c r="C23" s="70"/>
      <c r="D23" s="203">
        <v>2</v>
      </c>
      <c r="E23" s="7"/>
      <c r="F23" s="7"/>
    </row>
    <row r="24" spans="1:6" s="4" customFormat="1" ht="15" customHeight="1" thickBot="1">
      <c r="A24" s="71" t="str">
        <f>+A47</f>
        <v>1.2. Motorista Turno do Dia</v>
      </c>
      <c r="B24" s="70"/>
      <c r="C24" s="70"/>
      <c r="D24" s="203">
        <v>1</v>
      </c>
      <c r="E24" s="7"/>
      <c r="F24" s="7"/>
    </row>
    <row r="25" spans="1:6" s="4" customFormat="1" ht="15" customHeight="1" thickBot="1">
      <c r="A25" s="56" t="s">
        <v>206</v>
      </c>
      <c r="B25" s="57"/>
      <c r="C25" s="57"/>
      <c r="D25" s="204">
        <f>SUM(D23:D24)</f>
        <v>3</v>
      </c>
      <c r="E25" s="7"/>
      <c r="F25" s="7"/>
    </row>
    <row r="26" spans="1:6" s="4" customFormat="1" ht="15" customHeight="1" thickBot="1">
      <c r="A26" s="39"/>
      <c r="B26" s="40"/>
      <c r="C26" s="7"/>
      <c r="D26" s="7"/>
      <c r="E26" s="7"/>
      <c r="F26" s="7"/>
    </row>
    <row r="27" spans="1:6" s="4" customFormat="1" ht="15" customHeight="1">
      <c r="A27" s="404" t="s">
        <v>265</v>
      </c>
      <c r="B27" s="405"/>
      <c r="C27" s="405"/>
      <c r="D27" s="405"/>
      <c r="E27" s="76" t="s">
        <v>32</v>
      </c>
      <c r="F27" s="6"/>
    </row>
    <row r="28" spans="1:6" s="4" customFormat="1" ht="15" customHeight="1" thickBot="1">
      <c r="A28" s="198" t="str">
        <f>+A99</f>
        <v>3.1. Veículo Toco com Carroceria de Madeira</v>
      </c>
      <c r="B28" s="199"/>
      <c r="C28" s="199"/>
      <c r="D28" s="200"/>
      <c r="E28" s="201">
        <f>+C103</f>
        <v>1</v>
      </c>
      <c r="F28" s="6"/>
    </row>
    <row r="29" spans="1:6" s="4" customFormat="1" ht="15" customHeight="1">
      <c r="A29" s="39"/>
      <c r="B29" s="40"/>
      <c r="C29" s="7"/>
      <c r="D29" s="7"/>
      <c r="E29" s="7"/>
      <c r="F29" s="7"/>
    </row>
    <row r="30" spans="1:6" s="4" customFormat="1" ht="7.5" customHeight="1">
      <c r="A30" s="73"/>
      <c r="B30" s="74"/>
      <c r="C30" s="74"/>
      <c r="D30" s="75"/>
      <c r="E30" s="75"/>
      <c r="F30" s="75"/>
    </row>
    <row r="31" spans="1:6" s="4" customFormat="1" ht="15.75" customHeight="1">
      <c r="A31" s="61"/>
      <c r="B31" s="61"/>
      <c r="C31" s="61"/>
      <c r="D31" s="54"/>
      <c r="E31" s="72"/>
      <c r="F31" s="6"/>
    </row>
    <row r="32" ht="15.75">
      <c r="A32" s="179" t="s">
        <v>207</v>
      </c>
    </row>
    <row r="33" ht="11.25" customHeight="1"/>
    <row r="34" ht="13.5" customHeight="1" thickBot="1">
      <c r="A34" s="8" t="s">
        <v>87</v>
      </c>
    </row>
    <row r="35" spans="1:6" ht="13.5" customHeight="1" thickBot="1">
      <c r="A35" s="62" t="s">
        <v>73</v>
      </c>
      <c r="B35" s="63" t="s">
        <v>74</v>
      </c>
      <c r="C35" s="63" t="s">
        <v>32</v>
      </c>
      <c r="D35" s="64" t="s">
        <v>77</v>
      </c>
      <c r="E35" s="64" t="s">
        <v>75</v>
      </c>
      <c r="F35" s="65" t="s">
        <v>76</v>
      </c>
    </row>
    <row r="36" spans="1:5" ht="12.75" customHeight="1">
      <c r="A36" s="10" t="s">
        <v>0</v>
      </c>
      <c r="B36" s="11" t="s">
        <v>9</v>
      </c>
      <c r="C36" s="94">
        <f>D23</f>
        <v>2</v>
      </c>
      <c r="D36" s="180">
        <v>1196.47</v>
      </c>
      <c r="E36" s="12">
        <f>C36*D36</f>
        <v>2392.94</v>
      </c>
    </row>
    <row r="37" spans="1:5" ht="12.75">
      <c r="A37" s="13" t="s">
        <v>23</v>
      </c>
      <c r="B37" s="14" t="s">
        <v>1</v>
      </c>
      <c r="C37" s="14"/>
      <c r="D37" s="181">
        <v>0</v>
      </c>
      <c r="E37" s="15">
        <f>C37*D37</f>
        <v>0</v>
      </c>
    </row>
    <row r="38" spans="1:5" ht="12.75" customHeight="1">
      <c r="A38" s="13" t="s">
        <v>24</v>
      </c>
      <c r="B38" s="14" t="s">
        <v>1</v>
      </c>
      <c r="C38" s="14"/>
      <c r="D38" s="181">
        <v>0</v>
      </c>
      <c r="E38" s="15">
        <f>C38*D38</f>
        <v>0</v>
      </c>
    </row>
    <row r="39" spans="1:5" ht="12.75">
      <c r="A39" s="277" t="s">
        <v>2</v>
      </c>
      <c r="B39" s="278" t="s">
        <v>3</v>
      </c>
      <c r="C39" s="278">
        <v>40</v>
      </c>
      <c r="D39" s="181">
        <f>D36*0.4</f>
        <v>478.588</v>
      </c>
      <c r="E39" s="15">
        <f>D39*C36</f>
        <v>957.176</v>
      </c>
    </row>
    <row r="40" spans="1:5" ht="12.75">
      <c r="A40" s="279" t="s">
        <v>4</v>
      </c>
      <c r="B40" s="280"/>
      <c r="C40" s="280"/>
      <c r="D40" s="183"/>
      <c r="E40" s="17">
        <f>SUM(E36:E39)</f>
        <v>3350.116</v>
      </c>
    </row>
    <row r="41" spans="1:5" ht="12.75">
      <c r="A41" s="277" t="s">
        <v>5</v>
      </c>
      <c r="B41" s="278" t="s">
        <v>3</v>
      </c>
      <c r="C41" s="281">
        <f>B201</f>
        <v>0.16800000000000004</v>
      </c>
      <c r="D41" s="181">
        <f>E40</f>
        <v>3350.116</v>
      </c>
      <c r="E41" s="15">
        <f>D41*C41</f>
        <v>562.8194880000001</v>
      </c>
    </row>
    <row r="42" spans="1:5" ht="12.75">
      <c r="A42" s="279" t="s">
        <v>88</v>
      </c>
      <c r="B42" s="280"/>
      <c r="C42" s="280"/>
      <c r="D42" s="183"/>
      <c r="E42" s="17">
        <f>E40+E41</f>
        <v>3912.935488</v>
      </c>
    </row>
    <row r="43" spans="1:5" ht="13.5" thickBot="1">
      <c r="A43" s="279" t="s">
        <v>7</v>
      </c>
      <c r="B43" s="282" t="s">
        <v>8</v>
      </c>
      <c r="C43" s="282">
        <v>0</v>
      </c>
      <c r="D43" s="283">
        <f>E42</f>
        <v>3912.935488</v>
      </c>
      <c r="E43" s="17">
        <f>C43*D43</f>
        <v>0</v>
      </c>
    </row>
    <row r="44" spans="1:6" ht="13.5" customHeight="1" thickBot="1">
      <c r="A44" s="381" t="s">
        <v>173</v>
      </c>
      <c r="B44" s="382"/>
      <c r="C44" s="382"/>
      <c r="D44" s="383"/>
      <c r="E44" s="129">
        <v>0.6</v>
      </c>
      <c r="F44" s="18">
        <f>E42*E44</f>
        <v>2347.7612928</v>
      </c>
    </row>
    <row r="45" ht="11.25" customHeight="1"/>
    <row r="46" ht="11.25" customHeight="1"/>
    <row r="47" ht="13.5" thickBot="1">
      <c r="A47" s="8" t="s">
        <v>250</v>
      </c>
    </row>
    <row r="48" spans="1:6" s="9" customFormat="1" ht="12.75" customHeight="1" thickBot="1">
      <c r="A48" s="62" t="s">
        <v>73</v>
      </c>
      <c r="B48" s="63" t="s">
        <v>74</v>
      </c>
      <c r="C48" s="63" t="s">
        <v>32</v>
      </c>
      <c r="D48" s="64" t="s">
        <v>77</v>
      </c>
      <c r="E48" s="64" t="s">
        <v>75</v>
      </c>
      <c r="F48" s="65" t="s">
        <v>76</v>
      </c>
    </row>
    <row r="49" spans="1:5" ht="12.75">
      <c r="A49" s="10" t="s">
        <v>0</v>
      </c>
      <c r="B49" s="11" t="s">
        <v>9</v>
      </c>
      <c r="C49" s="11">
        <v>1</v>
      </c>
      <c r="D49" s="180">
        <v>1806.72</v>
      </c>
      <c r="E49" s="12">
        <f>C49*D49</f>
        <v>1806.72</v>
      </c>
    </row>
    <row r="50" spans="1:5" ht="12.75">
      <c r="A50" s="13" t="s">
        <v>23</v>
      </c>
      <c r="B50" s="14" t="s">
        <v>1</v>
      </c>
      <c r="C50" s="14">
        <f>+C37</f>
        <v>0</v>
      </c>
      <c r="D50" s="181">
        <v>0</v>
      </c>
      <c r="E50" s="15">
        <f>C50*D50</f>
        <v>0</v>
      </c>
    </row>
    <row r="51" spans="1:5" ht="12.75">
      <c r="A51" s="13" t="s">
        <v>24</v>
      </c>
      <c r="B51" s="14" t="s">
        <v>1</v>
      </c>
      <c r="C51" s="14">
        <f>+C38</f>
        <v>0</v>
      </c>
      <c r="D51" s="181">
        <v>0</v>
      </c>
      <c r="E51" s="15">
        <f>C51*D51</f>
        <v>0</v>
      </c>
    </row>
    <row r="52" spans="1:5" ht="12.75">
      <c r="A52" s="13" t="s">
        <v>2</v>
      </c>
      <c r="B52" s="14" t="s">
        <v>3</v>
      </c>
      <c r="C52" s="14">
        <v>20</v>
      </c>
      <c r="D52" s="181">
        <v>0</v>
      </c>
      <c r="E52" s="15">
        <f>E49*C52/100</f>
        <v>361.344</v>
      </c>
    </row>
    <row r="53" spans="1:5" ht="12.75">
      <c r="A53" s="13" t="s">
        <v>4</v>
      </c>
      <c r="B53" s="16"/>
      <c r="C53" s="16"/>
      <c r="D53" s="183"/>
      <c r="E53" s="15">
        <f>SUM(E49:E52)</f>
        <v>2168.064</v>
      </c>
    </row>
    <row r="54" spans="1:5" ht="12.75">
      <c r="A54" s="13" t="s">
        <v>5</v>
      </c>
      <c r="B54" s="14" t="s">
        <v>3</v>
      </c>
      <c r="C54" s="125">
        <f>B201</f>
        <v>0.16800000000000004</v>
      </c>
      <c r="D54" s="181">
        <f>E53</f>
        <v>2168.064</v>
      </c>
      <c r="E54" s="15">
        <f>D54*C54</f>
        <v>364.23475200000007</v>
      </c>
    </row>
    <row r="55" spans="1:5" ht="12.75">
      <c r="A55" s="13" t="s">
        <v>6</v>
      </c>
      <c r="B55" s="69"/>
      <c r="C55" s="69"/>
      <c r="D55" s="184"/>
      <c r="E55" s="15">
        <f>E53+E54</f>
        <v>2532.2987519999997</v>
      </c>
    </row>
    <row r="56" spans="1:5" ht="13.5" thickBot="1">
      <c r="A56" s="13" t="s">
        <v>7</v>
      </c>
      <c r="B56" s="14" t="s">
        <v>8</v>
      </c>
      <c r="C56" s="14">
        <v>0</v>
      </c>
      <c r="D56" s="181">
        <f>E55</f>
        <v>2532.2987519999997</v>
      </c>
      <c r="E56" s="17">
        <f>C56*D56</f>
        <v>0</v>
      </c>
    </row>
    <row r="57" spans="1:6" ht="13.5" thickBot="1">
      <c r="A57" s="374" t="s">
        <v>173</v>
      </c>
      <c r="B57" s="375"/>
      <c r="C57" s="375"/>
      <c r="D57" s="376"/>
      <c r="E57" s="129">
        <v>0.375</v>
      </c>
      <c r="F57" s="18">
        <f>E55*E57</f>
        <v>949.6120319999999</v>
      </c>
    </row>
    <row r="58" ht="11.25" customHeight="1" thickBot="1"/>
    <row r="59" spans="1:6" ht="13.5" thickBot="1">
      <c r="A59" s="20" t="s">
        <v>208</v>
      </c>
      <c r="B59" s="21"/>
      <c r="C59" s="21"/>
      <c r="D59" s="22"/>
      <c r="E59" s="23"/>
      <c r="F59" s="19">
        <f>SUM(F36:F58)</f>
        <v>3297.3733248</v>
      </c>
    </row>
    <row r="60" spans="1:6" ht="13.5" thickBot="1">
      <c r="A60" s="409" t="s">
        <v>204</v>
      </c>
      <c r="B60" s="410"/>
      <c r="C60" s="410"/>
      <c r="D60" s="410"/>
      <c r="E60" s="411"/>
      <c r="F60" s="95">
        <f>(F59*B218)</f>
        <v>1042.9591826342398</v>
      </c>
    </row>
    <row r="61" spans="1:6" ht="30" customHeight="1" thickBot="1">
      <c r="A61" s="136"/>
      <c r="B61" s="136"/>
      <c r="C61" s="406" t="s">
        <v>282</v>
      </c>
      <c r="D61" s="407"/>
      <c r="E61" s="408"/>
      <c r="F61" s="265">
        <f>SUM(F59:F60)</f>
        <v>4340.332507434239</v>
      </c>
    </row>
    <row r="62" spans="1:6" s="78" customFormat="1" ht="15.75">
      <c r="A62" s="299"/>
      <c r="B62" s="299"/>
      <c r="C62" s="300"/>
      <c r="D62" s="300"/>
      <c r="E62" s="300"/>
      <c r="F62" s="301"/>
    </row>
    <row r="63" spans="4:6" ht="12.75">
      <c r="D63" s="6"/>
      <c r="E63" s="6"/>
      <c r="F63" s="6"/>
    </row>
    <row r="64" spans="1:4" ht="15.75">
      <c r="A64" s="179" t="s">
        <v>52</v>
      </c>
      <c r="B64" s="141"/>
      <c r="C64" s="141"/>
      <c r="D64" s="189"/>
    </row>
    <row r="65" ht="11.25" customHeight="1"/>
    <row r="66" ht="13.5" customHeight="1" thickBot="1">
      <c r="A66" s="8" t="s">
        <v>89</v>
      </c>
    </row>
    <row r="67" spans="1:7" ht="13.5" customHeight="1" thickBot="1">
      <c r="A67" s="62" t="s">
        <v>73</v>
      </c>
      <c r="B67" s="63" t="s">
        <v>74</v>
      </c>
      <c r="C67" s="63" t="s">
        <v>32</v>
      </c>
      <c r="D67" s="64" t="s">
        <v>77</v>
      </c>
      <c r="E67" s="64" t="s">
        <v>75</v>
      </c>
      <c r="F67" s="65" t="s">
        <v>76</v>
      </c>
      <c r="G67" s="58"/>
    </row>
    <row r="68" spans="1:6" ht="12.75" customHeight="1">
      <c r="A68" s="219" t="s">
        <v>78</v>
      </c>
      <c r="B68" s="11" t="s">
        <v>10</v>
      </c>
      <c r="C68" s="24">
        <v>0.166666666666667</v>
      </c>
      <c r="D68" s="180">
        <v>24.93</v>
      </c>
      <c r="E68" s="12">
        <f>C68*D68</f>
        <v>4.155000000000008</v>
      </c>
      <c r="F68" s="220"/>
    </row>
    <row r="69" spans="1:7" ht="12.75" customHeight="1">
      <c r="A69" s="221" t="s">
        <v>19</v>
      </c>
      <c r="B69" s="14" t="s">
        <v>10</v>
      </c>
      <c r="C69" s="24">
        <v>0.3333333333333333</v>
      </c>
      <c r="D69" s="182">
        <v>20.45</v>
      </c>
      <c r="E69" s="15">
        <f>C69*D69</f>
        <v>6.816666666666666</v>
      </c>
      <c r="F69" s="220"/>
      <c r="G69" s="58"/>
    </row>
    <row r="70" spans="1:6" ht="12.75" customHeight="1">
      <c r="A70" s="221" t="s">
        <v>79</v>
      </c>
      <c r="B70" s="14" t="s">
        <v>10</v>
      </c>
      <c r="C70" s="24">
        <v>0.5</v>
      </c>
      <c r="D70" s="182">
        <v>16.91</v>
      </c>
      <c r="E70" s="15">
        <f aca="true" t="shared" si="0" ref="E70:E78">C70*D70</f>
        <v>8.455</v>
      </c>
      <c r="F70" s="220"/>
    </row>
    <row r="71" spans="1:7" ht="12.75" customHeight="1">
      <c r="A71" s="221" t="s">
        <v>21</v>
      </c>
      <c r="B71" s="14" t="s">
        <v>10</v>
      </c>
      <c r="C71" s="24">
        <v>0.16666666666666666</v>
      </c>
      <c r="D71" s="182">
        <v>8.5</v>
      </c>
      <c r="E71" s="15">
        <f t="shared" si="0"/>
        <v>1.4166666666666665</v>
      </c>
      <c r="F71" s="220"/>
      <c r="G71" s="58"/>
    </row>
    <row r="72" spans="1:6" ht="12.75" customHeight="1">
      <c r="A72" s="221" t="s">
        <v>81</v>
      </c>
      <c r="B72" s="14" t="s">
        <v>54</v>
      </c>
      <c r="C72" s="24">
        <v>0.16666666666666666</v>
      </c>
      <c r="D72" s="182">
        <v>47.7</v>
      </c>
      <c r="E72" s="15">
        <f t="shared" si="0"/>
        <v>7.95</v>
      </c>
      <c r="F72" s="220"/>
    </row>
    <row r="73" spans="1:6" ht="12.75" customHeight="1">
      <c r="A73" s="221" t="s">
        <v>80</v>
      </c>
      <c r="B73" s="14" t="s">
        <v>10</v>
      </c>
      <c r="C73" s="24">
        <v>0.08333333333333333</v>
      </c>
      <c r="D73" s="182">
        <v>54.9</v>
      </c>
      <c r="E73" s="15">
        <f t="shared" si="0"/>
        <v>4.574999999999999</v>
      </c>
      <c r="F73" s="220"/>
    </row>
    <row r="74" spans="1:7" s="1" customFormat="1" ht="12.75" customHeight="1">
      <c r="A74" s="222" t="s">
        <v>11</v>
      </c>
      <c r="B74" s="2" t="s">
        <v>10</v>
      </c>
      <c r="C74" s="24">
        <v>0.08333333333333333</v>
      </c>
      <c r="D74" s="182">
        <f>(18+32.9)/2</f>
        <v>25.45</v>
      </c>
      <c r="E74" s="15">
        <f t="shared" si="0"/>
        <v>2.120833333333333</v>
      </c>
      <c r="F74" s="223"/>
      <c r="G74" s="66"/>
    </row>
    <row r="75" spans="1:6" ht="12.75" customHeight="1">
      <c r="A75" s="221" t="s">
        <v>22</v>
      </c>
      <c r="B75" s="14" t="s">
        <v>54</v>
      </c>
      <c r="C75" s="24">
        <v>0.5</v>
      </c>
      <c r="D75" s="182">
        <v>7.17</v>
      </c>
      <c r="E75" s="15">
        <f t="shared" si="0"/>
        <v>3.585</v>
      </c>
      <c r="F75" s="220"/>
    </row>
    <row r="76" spans="1:6" ht="12.75">
      <c r="A76" s="224" t="s">
        <v>90</v>
      </c>
      <c r="B76" s="14" t="s">
        <v>10</v>
      </c>
      <c r="C76" s="24">
        <v>0.03333333333333333</v>
      </c>
      <c r="D76" s="182">
        <v>62.9</v>
      </c>
      <c r="E76" s="15">
        <f t="shared" si="0"/>
        <v>2.0966666666666667</v>
      </c>
      <c r="F76" s="220"/>
    </row>
    <row r="77" spans="1:6" ht="12.75" customHeight="1">
      <c r="A77" s="221" t="s">
        <v>72</v>
      </c>
      <c r="B77" s="14" t="s">
        <v>55</v>
      </c>
      <c r="C77" s="24">
        <v>0.5</v>
      </c>
      <c r="D77" s="182">
        <v>9.4</v>
      </c>
      <c r="E77" s="15">
        <f t="shared" si="0"/>
        <v>4.7</v>
      </c>
      <c r="F77" s="220"/>
    </row>
    <row r="78" spans="1:6" ht="12.75" customHeight="1" thickBot="1">
      <c r="A78" s="291" t="s">
        <v>83</v>
      </c>
      <c r="B78" s="292" t="s">
        <v>9</v>
      </c>
      <c r="C78" s="306">
        <v>1</v>
      </c>
      <c r="D78" s="293">
        <v>179.17</v>
      </c>
      <c r="E78" s="17">
        <f t="shared" si="0"/>
        <v>179.17</v>
      </c>
      <c r="F78" s="220"/>
    </row>
    <row r="79" spans="1:6" ht="12.75" customHeight="1" thickBot="1">
      <c r="A79" s="294" t="s">
        <v>7</v>
      </c>
      <c r="B79" s="295" t="s">
        <v>8</v>
      </c>
      <c r="C79" s="310">
        <v>3</v>
      </c>
      <c r="D79" s="296">
        <f>+SUM(E68:E78)</f>
        <v>225.04083333333332</v>
      </c>
      <c r="E79" s="276">
        <f>SUM(E68:E78)</f>
        <v>225.04083333333332</v>
      </c>
      <c r="F79" s="228">
        <v>3</v>
      </c>
    </row>
    <row r="80" spans="5:6" ht="13.5" thickBot="1">
      <c r="E80" s="217">
        <v>0.6</v>
      </c>
      <c r="F80" s="218">
        <f>E79*F79*E80</f>
        <v>405.07349999999997</v>
      </c>
    </row>
    <row r="81" ht="11.25" customHeight="1"/>
    <row r="82" ht="13.5" customHeight="1" thickBot="1">
      <c r="A82" s="8" t="s">
        <v>251</v>
      </c>
    </row>
    <row r="83" spans="1:6" ht="13.5" thickBot="1">
      <c r="A83" s="62" t="s">
        <v>73</v>
      </c>
      <c r="B83" s="63" t="s">
        <v>74</v>
      </c>
      <c r="C83" s="63" t="s">
        <v>32</v>
      </c>
      <c r="D83" s="64" t="s">
        <v>77</v>
      </c>
      <c r="E83" s="64" t="s">
        <v>75</v>
      </c>
      <c r="F83" s="65" t="s">
        <v>76</v>
      </c>
    </row>
    <row r="84" spans="1:6" ht="12.75">
      <c r="A84" s="219" t="s">
        <v>78</v>
      </c>
      <c r="B84" s="11" t="s">
        <v>10</v>
      </c>
      <c r="C84" s="24">
        <v>0.16666666666666666</v>
      </c>
      <c r="D84" s="180">
        <v>24.93</v>
      </c>
      <c r="E84" s="12">
        <f>D84*C84</f>
        <v>4.154999999999999</v>
      </c>
      <c r="F84" s="220"/>
    </row>
    <row r="85" spans="1:6" ht="12.75">
      <c r="A85" s="221" t="s">
        <v>19</v>
      </c>
      <c r="B85" s="14" t="s">
        <v>10</v>
      </c>
      <c r="C85" s="24">
        <v>0.16666666666666666</v>
      </c>
      <c r="D85" s="182">
        <v>20.45</v>
      </c>
      <c r="E85" s="12">
        <f aca="true" t="shared" si="1" ref="E85:E90">D85*C85</f>
        <v>3.408333333333333</v>
      </c>
      <c r="F85" s="220"/>
    </row>
    <row r="86" spans="1:6" ht="12.75">
      <c r="A86" s="221" t="s">
        <v>20</v>
      </c>
      <c r="B86" s="14" t="s">
        <v>10</v>
      </c>
      <c r="C86" s="24">
        <v>0.3333333333333333</v>
      </c>
      <c r="D86" s="181"/>
      <c r="E86" s="12">
        <f t="shared" si="1"/>
        <v>0</v>
      </c>
      <c r="F86" s="220"/>
    </row>
    <row r="87" spans="1:6" ht="12.75">
      <c r="A87" s="221" t="s">
        <v>81</v>
      </c>
      <c r="B87" s="14" t="s">
        <v>54</v>
      </c>
      <c r="C87" s="24">
        <v>0.16666666666666666</v>
      </c>
      <c r="D87" s="182">
        <v>47.7</v>
      </c>
      <c r="E87" s="12">
        <f t="shared" si="1"/>
        <v>7.95</v>
      </c>
      <c r="F87" s="220"/>
    </row>
    <row r="88" spans="1:6" ht="12.75">
      <c r="A88" s="221" t="s">
        <v>80</v>
      </c>
      <c r="B88" s="14" t="s">
        <v>10</v>
      </c>
      <c r="C88" s="24">
        <v>0.08333333333333333</v>
      </c>
      <c r="D88" s="181"/>
      <c r="E88" s="12">
        <f t="shared" si="1"/>
        <v>0</v>
      </c>
      <c r="F88" s="220"/>
    </row>
    <row r="89" spans="1:6" ht="12.75">
      <c r="A89" s="221" t="s">
        <v>72</v>
      </c>
      <c r="B89" s="14" t="s">
        <v>55</v>
      </c>
      <c r="C89" s="24">
        <v>0.3333333333333333</v>
      </c>
      <c r="D89" s="181"/>
      <c r="E89" s="12">
        <f t="shared" si="1"/>
        <v>0</v>
      </c>
      <c r="F89" s="220"/>
    </row>
    <row r="90" spans="1:6" ht="13.5" thickBot="1">
      <c r="A90" s="291" t="s">
        <v>83</v>
      </c>
      <c r="B90" s="292" t="s">
        <v>9</v>
      </c>
      <c r="C90" s="307">
        <v>1</v>
      </c>
      <c r="D90" s="293">
        <v>179.17</v>
      </c>
      <c r="E90" s="308">
        <f t="shared" si="1"/>
        <v>179.17</v>
      </c>
      <c r="F90" s="220"/>
    </row>
    <row r="91" spans="1:6" ht="13.5" thickBot="1">
      <c r="A91" s="294" t="s">
        <v>7</v>
      </c>
      <c r="B91" s="295" t="s">
        <v>8</v>
      </c>
      <c r="C91" s="310">
        <v>1</v>
      </c>
      <c r="D91" s="309"/>
      <c r="E91" s="276">
        <f>SUM(E84:E90)</f>
        <v>194.6833333333333</v>
      </c>
      <c r="F91" s="228">
        <v>1</v>
      </c>
    </row>
    <row r="92" spans="5:6" ht="13.5" thickBot="1">
      <c r="E92" s="229">
        <v>0.375</v>
      </c>
      <c r="F92" s="218">
        <f>E91*E92</f>
        <v>73.00625</v>
      </c>
    </row>
    <row r="93" ht="11.25" customHeight="1" thickBot="1"/>
    <row r="94" spans="1:6" ht="30" customHeight="1" thickBot="1">
      <c r="A94" s="266" t="s">
        <v>53</v>
      </c>
      <c r="B94" s="267"/>
      <c r="C94" s="267"/>
      <c r="D94" s="268"/>
      <c r="E94" s="269"/>
      <c r="F94" s="263">
        <f>+F80+F92</f>
        <v>478.07975</v>
      </c>
    </row>
    <row r="95" spans="1:6" s="78" customFormat="1" ht="12.75">
      <c r="A95" s="302"/>
      <c r="B95" s="303"/>
      <c r="C95" s="303"/>
      <c r="D95" s="304"/>
      <c r="E95" s="304"/>
      <c r="F95" s="27"/>
    </row>
    <row r="96" ht="11.25" customHeight="1"/>
    <row r="97" ht="15.75">
      <c r="A97" s="179" t="s">
        <v>284</v>
      </c>
    </row>
    <row r="98" ht="11.25" customHeight="1">
      <c r="A98" s="188"/>
    </row>
    <row r="99" ht="12.75">
      <c r="A99" s="137" t="s">
        <v>252</v>
      </c>
    </row>
    <row r="100" ht="9" customHeight="1"/>
    <row r="101" ht="13.5" thickBot="1">
      <c r="A101" s="8" t="s">
        <v>94</v>
      </c>
    </row>
    <row r="102" spans="1:6" ht="13.5" thickBot="1">
      <c r="A102" s="62" t="s">
        <v>73</v>
      </c>
      <c r="B102" s="63" t="s">
        <v>74</v>
      </c>
      <c r="C102" s="63" t="s">
        <v>32</v>
      </c>
      <c r="D102" s="64" t="s">
        <v>77</v>
      </c>
      <c r="E102" s="64" t="s">
        <v>75</v>
      </c>
      <c r="F102" s="65" t="s">
        <v>76</v>
      </c>
    </row>
    <row r="103" spans="1:6" ht="12.75">
      <c r="A103" s="219" t="s">
        <v>67</v>
      </c>
      <c r="B103" s="11" t="s">
        <v>10</v>
      </c>
      <c r="C103" s="11">
        <v>1</v>
      </c>
      <c r="D103" s="180">
        <v>180000</v>
      </c>
      <c r="E103" s="12">
        <f>C103*D103</f>
        <v>180000</v>
      </c>
      <c r="F103" s="220"/>
    </row>
    <row r="104" spans="1:6" ht="12.75">
      <c r="A104" s="232" t="s">
        <v>93</v>
      </c>
      <c r="B104" s="52" t="s">
        <v>10</v>
      </c>
      <c r="C104" s="52">
        <f>+C103</f>
        <v>1</v>
      </c>
      <c r="D104" s="185">
        <v>20000</v>
      </c>
      <c r="E104" s="53">
        <f>C104*D104</f>
        <v>20000</v>
      </c>
      <c r="F104" s="223"/>
    </row>
    <row r="105" spans="1:6" ht="12.75">
      <c r="A105" s="233" t="s">
        <v>92</v>
      </c>
      <c r="B105" s="52" t="s">
        <v>10</v>
      </c>
      <c r="C105" s="52">
        <f>+C103</f>
        <v>1</v>
      </c>
      <c r="D105" s="186"/>
      <c r="E105" s="53">
        <f>C105*D105</f>
        <v>0</v>
      </c>
      <c r="F105" s="223"/>
    </row>
    <row r="106" spans="1:6" ht="12.75">
      <c r="A106" s="221" t="s">
        <v>270</v>
      </c>
      <c r="B106" s="14" t="s">
        <v>3</v>
      </c>
      <c r="C106" s="14">
        <v>70</v>
      </c>
      <c r="D106" s="182">
        <f>E103</f>
        <v>180000</v>
      </c>
      <c r="E106" s="15">
        <f>C106*D106/100</f>
        <v>126000</v>
      </c>
      <c r="F106" s="220"/>
    </row>
    <row r="107" spans="1:6" ht="12.75">
      <c r="A107" s="221" t="s">
        <v>271</v>
      </c>
      <c r="B107" s="14" t="s">
        <v>3</v>
      </c>
      <c r="C107" s="14">
        <v>90</v>
      </c>
      <c r="D107" s="182">
        <f>+E104</f>
        <v>20000</v>
      </c>
      <c r="E107" s="15">
        <f>C107*D107/100</f>
        <v>18000</v>
      </c>
      <c r="F107" s="220"/>
    </row>
    <row r="108" spans="1:6" ht="13.5" thickBot="1">
      <c r="A108" s="311" t="s">
        <v>283</v>
      </c>
      <c r="B108" s="292" t="s">
        <v>3</v>
      </c>
      <c r="C108" s="292">
        <v>0</v>
      </c>
      <c r="D108" s="283">
        <f>+E105</f>
        <v>0</v>
      </c>
      <c r="E108" s="17">
        <f>C108*D108/100</f>
        <v>0</v>
      </c>
      <c r="F108" s="220"/>
    </row>
    <row r="109" spans="1:6" ht="13.5" thickBot="1">
      <c r="A109" s="294" t="s">
        <v>63</v>
      </c>
      <c r="B109" s="295" t="s">
        <v>9</v>
      </c>
      <c r="C109" s="295">
        <v>120</v>
      </c>
      <c r="D109" s="296">
        <f>SUM(E106:E108)</f>
        <v>144000</v>
      </c>
      <c r="E109" s="276">
        <f>D109/C109</f>
        <v>1200</v>
      </c>
      <c r="F109" s="228"/>
    </row>
    <row r="110" spans="4:6" ht="13.5" thickBot="1">
      <c r="D110" s="39"/>
      <c r="E110" s="129">
        <v>0.375</v>
      </c>
      <c r="F110" s="231">
        <f>E109*E110</f>
        <v>450</v>
      </c>
    </row>
    <row r="111" ht="11.25" customHeight="1"/>
    <row r="112" ht="13.5" thickBot="1">
      <c r="A112" s="8" t="s">
        <v>253</v>
      </c>
    </row>
    <row r="113" spans="1:6" ht="13.5" thickBot="1">
      <c r="A113" s="62" t="s">
        <v>73</v>
      </c>
      <c r="B113" s="63" t="s">
        <v>74</v>
      </c>
      <c r="C113" s="63" t="s">
        <v>32</v>
      </c>
      <c r="D113" s="64" t="s">
        <v>77</v>
      </c>
      <c r="E113" s="64" t="s">
        <v>75</v>
      </c>
      <c r="F113" s="65" t="s">
        <v>76</v>
      </c>
    </row>
    <row r="114" spans="1:6" ht="12.75">
      <c r="A114" s="219" t="s">
        <v>12</v>
      </c>
      <c r="B114" s="11" t="s">
        <v>10</v>
      </c>
      <c r="C114" s="11">
        <f>C105</f>
        <v>1</v>
      </c>
      <c r="D114" s="180">
        <v>2500</v>
      </c>
      <c r="E114" s="12">
        <f>C114*D114</f>
        <v>2500</v>
      </c>
      <c r="F114" s="220"/>
    </row>
    <row r="115" spans="1:6" ht="12.75">
      <c r="A115" s="221" t="s">
        <v>56</v>
      </c>
      <c r="B115" s="14" t="s">
        <v>10</v>
      </c>
      <c r="C115" s="14">
        <f>C105</f>
        <v>1</v>
      </c>
      <c r="D115" s="182">
        <v>300</v>
      </c>
      <c r="E115" s="15">
        <f>C115*D115</f>
        <v>300</v>
      </c>
      <c r="F115" s="220"/>
    </row>
    <row r="116" spans="1:6" ht="13.5" thickBot="1">
      <c r="A116" s="291" t="s">
        <v>13</v>
      </c>
      <c r="B116" s="292" t="s">
        <v>10</v>
      </c>
      <c r="C116" s="292">
        <f>C105</f>
        <v>1</v>
      </c>
      <c r="D116" s="293">
        <v>1500</v>
      </c>
      <c r="E116" s="17">
        <f>C116*D116</f>
        <v>1500</v>
      </c>
      <c r="F116" s="235"/>
    </row>
    <row r="117" spans="1:6" ht="13.5" thickBot="1">
      <c r="A117" s="294" t="s">
        <v>287</v>
      </c>
      <c r="B117" s="295" t="s">
        <v>9</v>
      </c>
      <c r="C117" s="295">
        <v>12</v>
      </c>
      <c r="D117" s="296">
        <f>SUM(D114:D116)</f>
        <v>4300</v>
      </c>
      <c r="E117" s="276">
        <f>D117/C117</f>
        <v>358.3333333333333</v>
      </c>
      <c r="F117" s="228"/>
    </row>
    <row r="118" spans="5:6" ht="13.5" thickBot="1">
      <c r="E118" s="234">
        <v>0.375</v>
      </c>
      <c r="F118" s="231">
        <f>E117*E118</f>
        <v>134.375</v>
      </c>
    </row>
    <row r="119" ht="11.25" customHeight="1"/>
    <row r="120" spans="1:2" ht="13.5" thickBot="1">
      <c r="A120" s="8" t="s">
        <v>254</v>
      </c>
      <c r="B120" s="25"/>
    </row>
    <row r="121" spans="1:6" ht="13.5" thickBot="1">
      <c r="A121" s="62" t="s">
        <v>73</v>
      </c>
      <c r="B121" s="63" t="s">
        <v>74</v>
      </c>
      <c r="C121" s="63" t="s">
        <v>32</v>
      </c>
      <c r="D121" s="64" t="s">
        <v>77</v>
      </c>
      <c r="E121" s="64" t="s">
        <v>75</v>
      </c>
      <c r="F121" s="65" t="s">
        <v>76</v>
      </c>
    </row>
    <row r="122" spans="1:6" ht="12.75">
      <c r="A122" s="236" t="s">
        <v>241</v>
      </c>
      <c r="B122" s="11" t="s">
        <v>14</v>
      </c>
      <c r="C122" s="26">
        <f>' Memorial de Cálculo do Custo'!I32</f>
        <v>364.368</v>
      </c>
      <c r="D122" s="190">
        <f>3.48/2.2</f>
        <v>1.5818181818181818</v>
      </c>
      <c r="E122" s="12">
        <f>C122*D122</f>
        <v>576.3639272727272</v>
      </c>
      <c r="F122" s="220"/>
    </row>
    <row r="123" spans="1:6" ht="13.5" thickBot="1">
      <c r="A123" s="237" t="s">
        <v>240</v>
      </c>
      <c r="B123" s="226" t="s">
        <v>14</v>
      </c>
      <c r="C123" s="238">
        <f>' Memorial de Cálculo do Custo'!I36</f>
        <v>561.168</v>
      </c>
      <c r="D123" s="239">
        <f>3.48/4.1</f>
        <v>0.8487804878048781</v>
      </c>
      <c r="E123" s="227">
        <f>C123*D123</f>
        <v>476.3084487804879</v>
      </c>
      <c r="F123" s="228"/>
    </row>
    <row r="124" ht="13.5" thickBot="1">
      <c r="F124" s="231">
        <f>SUM(E122:E123)</f>
        <v>1052.672376053215</v>
      </c>
    </row>
    <row r="125" ht="11.25" customHeight="1"/>
    <row r="126" ht="13.5" thickBot="1">
      <c r="A126" s="8" t="s">
        <v>255</v>
      </c>
    </row>
    <row r="127" spans="1:6" ht="13.5" thickBot="1">
      <c r="A127" s="62" t="s">
        <v>73</v>
      </c>
      <c r="B127" s="63" t="s">
        <v>74</v>
      </c>
      <c r="C127" s="63" t="s">
        <v>32</v>
      </c>
      <c r="D127" s="64" t="s">
        <v>77</v>
      </c>
      <c r="E127" s="64" t="s">
        <v>75</v>
      </c>
      <c r="F127" s="65" t="s">
        <v>76</v>
      </c>
    </row>
    <row r="128" spans="1:6" ht="13.5" thickBot="1">
      <c r="A128" s="240" t="s">
        <v>256</v>
      </c>
      <c r="B128" s="241" t="s">
        <v>10</v>
      </c>
      <c r="C128" s="241">
        <f>C103</f>
        <v>1</v>
      </c>
      <c r="D128" s="242">
        <v>400</v>
      </c>
      <c r="E128" s="230">
        <f>C128*D128</f>
        <v>400</v>
      </c>
      <c r="F128" s="228"/>
    </row>
    <row r="129" spans="5:6" ht="13.5" thickBot="1">
      <c r="E129" s="234">
        <v>0.375</v>
      </c>
      <c r="F129" s="231">
        <f>E128*E129</f>
        <v>150</v>
      </c>
    </row>
    <row r="130" ht="11.25" customHeight="1"/>
    <row r="131" ht="13.5" thickBot="1">
      <c r="A131" s="8" t="s">
        <v>257</v>
      </c>
    </row>
    <row r="132" spans="1:6" ht="13.5" thickBot="1">
      <c r="A132" s="62" t="s">
        <v>73</v>
      </c>
      <c r="B132" s="63" t="s">
        <v>74</v>
      </c>
      <c r="C132" s="63" t="s">
        <v>32</v>
      </c>
      <c r="D132" s="64" t="s">
        <v>77</v>
      </c>
      <c r="E132" s="64" t="s">
        <v>75</v>
      </c>
      <c r="F132" s="65" t="s">
        <v>76</v>
      </c>
    </row>
    <row r="133" spans="1:6" ht="12.75">
      <c r="A133" s="219" t="s">
        <v>192</v>
      </c>
      <c r="B133" s="11" t="s">
        <v>10</v>
      </c>
      <c r="C133" s="11">
        <v>6</v>
      </c>
      <c r="D133" s="180">
        <v>1600</v>
      </c>
      <c r="E133" s="12">
        <f>C133*D133</f>
        <v>9600</v>
      </c>
      <c r="F133" s="220"/>
    </row>
    <row r="134" spans="1:6" ht="12.75">
      <c r="A134" s="219" t="s">
        <v>84</v>
      </c>
      <c r="B134" s="11" t="s">
        <v>10</v>
      </c>
      <c r="C134" s="11">
        <f>C133</f>
        <v>6</v>
      </c>
      <c r="D134" s="191">
        <v>0</v>
      </c>
      <c r="E134" s="12">
        <f>C134*D134</f>
        <v>0</v>
      </c>
      <c r="F134" s="220"/>
    </row>
    <row r="135" spans="1:6" ht="13.5" thickBot="1">
      <c r="A135" s="291" t="s">
        <v>85</v>
      </c>
      <c r="B135" s="292" t="s">
        <v>16</v>
      </c>
      <c r="C135" s="312">
        <v>23000</v>
      </c>
      <c r="D135" s="313">
        <f>E133+E134</f>
        <v>9600</v>
      </c>
      <c r="E135" s="17">
        <f>D135/C135</f>
        <v>0.41739130434782606</v>
      </c>
      <c r="F135" s="220"/>
    </row>
    <row r="136" spans="1:6" ht="13.5" thickBot="1">
      <c r="A136" s="294" t="s">
        <v>64</v>
      </c>
      <c r="B136" s="295" t="s">
        <v>15</v>
      </c>
      <c r="C136" s="309">
        <f>' Memorial de Cálculo do Custo'!E57</f>
        <v>925.5360000000001</v>
      </c>
      <c r="D136" s="309">
        <f>E135</f>
        <v>0.41739130434782606</v>
      </c>
      <c r="E136" s="276">
        <f>C136*D136</f>
        <v>386.31067826086957</v>
      </c>
      <c r="F136" s="228"/>
    </row>
    <row r="137" ht="13.5" thickBot="1">
      <c r="F137" s="231">
        <f>E136</f>
        <v>386.31067826086957</v>
      </c>
    </row>
    <row r="138" ht="12.75">
      <c r="F138" s="27"/>
    </row>
    <row r="139" ht="13.5" thickBot="1">
      <c r="A139" s="8" t="s">
        <v>289</v>
      </c>
    </row>
    <row r="140" spans="1:6" ht="13.5" thickBot="1">
      <c r="A140" s="62" t="s">
        <v>73</v>
      </c>
      <c r="B140" s="63" t="s">
        <v>74</v>
      </c>
      <c r="C140" s="63" t="s">
        <v>32</v>
      </c>
      <c r="D140" s="64" t="s">
        <v>77</v>
      </c>
      <c r="E140" s="64" t="s">
        <v>75</v>
      </c>
      <c r="F140" s="65" t="s">
        <v>76</v>
      </c>
    </row>
    <row r="141" spans="1:6" ht="13.5" thickBot="1">
      <c r="A141" s="240" t="s">
        <v>290</v>
      </c>
      <c r="B141" s="241" t="s">
        <v>10</v>
      </c>
      <c r="C141" s="241">
        <v>15</v>
      </c>
      <c r="D141" s="242">
        <v>100</v>
      </c>
      <c r="E141" s="230">
        <f>C141*D141</f>
        <v>1500</v>
      </c>
      <c r="F141" s="228"/>
    </row>
    <row r="142" spans="5:6" ht="13.5" thickBot="1">
      <c r="E142" s="234">
        <v>0.375</v>
      </c>
      <c r="F142" s="231">
        <f>E141*E142</f>
        <v>562.5</v>
      </c>
    </row>
    <row r="143" ht="11.25" customHeight="1" thickBot="1"/>
    <row r="144" spans="1:6" ht="30" customHeight="1" thickBot="1">
      <c r="A144" s="266" t="s">
        <v>258</v>
      </c>
      <c r="B144" s="270"/>
      <c r="C144" s="270"/>
      <c r="D144" s="271"/>
      <c r="E144" s="272"/>
      <c r="F144" s="263">
        <f>+SUM(F98:F143)</f>
        <v>2735.8580543140847</v>
      </c>
    </row>
    <row r="145" ht="11.25" customHeight="1"/>
    <row r="146" ht="11.25" customHeight="1"/>
    <row r="147" spans="1:6" ht="12.75">
      <c r="A147" s="140" t="s">
        <v>259</v>
      </c>
      <c r="B147" s="140"/>
      <c r="C147" s="29"/>
      <c r="D147" s="30"/>
      <c r="E147" s="30"/>
      <c r="F147" s="27"/>
    </row>
    <row r="148" ht="11.25" customHeight="1" thickBot="1"/>
    <row r="149" spans="1:6" ht="13.5" thickBot="1">
      <c r="A149" s="62" t="s">
        <v>73</v>
      </c>
      <c r="B149" s="63" t="s">
        <v>74</v>
      </c>
      <c r="C149" s="63" t="s">
        <v>32</v>
      </c>
      <c r="D149" s="64" t="s">
        <v>77</v>
      </c>
      <c r="E149" s="64" t="s">
        <v>75</v>
      </c>
      <c r="F149" s="65" t="s">
        <v>76</v>
      </c>
    </row>
    <row r="150" spans="1:6" ht="12.75">
      <c r="A150" s="221" t="s">
        <v>86</v>
      </c>
      <c r="B150" s="14" t="s">
        <v>10</v>
      </c>
      <c r="C150" s="55">
        <v>0.3333333333333333</v>
      </c>
      <c r="D150" s="192"/>
      <c r="E150" s="15">
        <f>C150*D150</f>
        <v>0</v>
      </c>
      <c r="F150" s="243"/>
    </row>
    <row r="151" spans="1:6" ht="12.75">
      <c r="A151" s="221" t="s">
        <v>17</v>
      </c>
      <c r="B151" s="14" t="s">
        <v>10</v>
      </c>
      <c r="C151" s="55">
        <v>0</v>
      </c>
      <c r="D151" s="193"/>
      <c r="E151" s="15">
        <f>C151*D151</f>
        <v>0</v>
      </c>
      <c r="F151" s="243"/>
    </row>
    <row r="152" spans="1:6" ht="12.75">
      <c r="A152" s="221" t="s">
        <v>18</v>
      </c>
      <c r="B152" s="14" t="s">
        <v>10</v>
      </c>
      <c r="C152" s="55">
        <v>0</v>
      </c>
      <c r="D152" s="193"/>
      <c r="E152" s="15">
        <f>C152*D152</f>
        <v>0</v>
      </c>
      <c r="F152" s="243"/>
    </row>
    <row r="153" spans="1:6" ht="12.75">
      <c r="A153" s="221" t="s">
        <v>62</v>
      </c>
      <c r="B153" s="14" t="s">
        <v>57</v>
      </c>
      <c r="C153" s="59">
        <v>5</v>
      </c>
      <c r="D153" s="192"/>
      <c r="E153" s="15">
        <f aca="true" t="shared" si="2" ref="E153:E159">C153*D153</f>
        <v>0</v>
      </c>
      <c r="F153" s="243"/>
    </row>
    <row r="154" spans="1:6" ht="12.75">
      <c r="A154" s="221" t="s">
        <v>60</v>
      </c>
      <c r="B154" s="14" t="s">
        <v>58</v>
      </c>
      <c r="C154" s="59">
        <v>10</v>
      </c>
      <c r="D154" s="192"/>
      <c r="E154" s="15">
        <f t="shared" si="2"/>
        <v>0</v>
      </c>
      <c r="F154" s="243"/>
    </row>
    <row r="155" spans="1:6" ht="12.75">
      <c r="A155" s="221" t="s">
        <v>61</v>
      </c>
      <c r="B155" s="14" t="s">
        <v>58</v>
      </c>
      <c r="C155" s="60">
        <f>26*0.3</f>
        <v>7.8</v>
      </c>
      <c r="D155" s="192"/>
      <c r="E155" s="15">
        <f t="shared" si="2"/>
        <v>0</v>
      </c>
      <c r="F155" s="243"/>
    </row>
    <row r="156" spans="1:6" ht="12.75">
      <c r="A156" s="224" t="s">
        <v>91</v>
      </c>
      <c r="B156" s="14" t="s">
        <v>59</v>
      </c>
      <c r="C156" s="59">
        <v>5</v>
      </c>
      <c r="D156" s="192"/>
      <c r="E156" s="15">
        <f t="shared" si="2"/>
        <v>0</v>
      </c>
      <c r="F156" s="243"/>
    </row>
    <row r="157" spans="1:6" ht="12.75">
      <c r="A157" s="221" t="s">
        <v>68</v>
      </c>
      <c r="B157" s="14" t="s">
        <v>70</v>
      </c>
      <c r="C157" s="24">
        <v>0</v>
      </c>
      <c r="D157" s="193"/>
      <c r="E157" s="15">
        <f t="shared" si="2"/>
        <v>0</v>
      </c>
      <c r="F157" s="243"/>
    </row>
    <row r="158" spans="1:6" ht="13.5" thickBot="1">
      <c r="A158" s="221" t="s">
        <v>71</v>
      </c>
      <c r="B158" s="14" t="s">
        <v>70</v>
      </c>
      <c r="C158" s="24">
        <v>0.08333333333333333</v>
      </c>
      <c r="D158" s="192"/>
      <c r="E158" s="15">
        <f t="shared" si="2"/>
        <v>0</v>
      </c>
      <c r="F158" s="243"/>
    </row>
    <row r="159" spans="1:6" ht="13.5" thickBot="1">
      <c r="A159" s="225" t="s">
        <v>69</v>
      </c>
      <c r="B159" s="226" t="s">
        <v>70</v>
      </c>
      <c r="C159" s="244">
        <v>0</v>
      </c>
      <c r="D159" s="245"/>
      <c r="E159" s="246">
        <f t="shared" si="2"/>
        <v>0</v>
      </c>
      <c r="F159" s="18">
        <f>SUM(E150:E158)</f>
        <v>0</v>
      </c>
    </row>
    <row r="160" spans="1:6" ht="13.5" thickBot="1">
      <c r="A160" s="29"/>
      <c r="B160" s="29"/>
      <c r="C160" s="29"/>
      <c r="D160" s="29"/>
      <c r="E160" s="95">
        <v>0.6</v>
      </c>
      <c r="F160" s="18">
        <f>F159*E160</f>
        <v>0</v>
      </c>
    </row>
    <row r="161" spans="1:6" ht="12.75">
      <c r="A161" s="29"/>
      <c r="B161" s="29"/>
      <c r="C161" s="29"/>
      <c r="D161" s="29"/>
      <c r="E161" s="30"/>
      <c r="F161" s="27"/>
    </row>
    <row r="162" ht="11.25" customHeight="1" thickBot="1"/>
    <row r="163" spans="1:6" ht="30" customHeight="1" thickBot="1">
      <c r="A163" s="266" t="s">
        <v>66</v>
      </c>
      <c r="B163" s="270"/>
      <c r="C163" s="270"/>
      <c r="D163" s="271"/>
      <c r="E163" s="272"/>
      <c r="F163" s="263">
        <f>+F160</f>
        <v>0</v>
      </c>
    </row>
    <row r="164" spans="1:6" s="78" customFormat="1" ht="12.75">
      <c r="A164" s="302"/>
      <c r="B164" s="302"/>
      <c r="C164" s="302"/>
      <c r="D164" s="305"/>
      <c r="E164" s="305"/>
      <c r="F164" s="27"/>
    </row>
    <row r="165" ht="11.25" customHeight="1"/>
    <row r="166" ht="11.25" customHeight="1">
      <c r="A166" s="140" t="s">
        <v>261</v>
      </c>
    </row>
    <row r="167" ht="11.25" customHeight="1" thickBot="1"/>
    <row r="168" spans="1:6" ht="11.25" customHeight="1" thickBot="1">
      <c r="A168" s="62" t="s">
        <v>73</v>
      </c>
      <c r="B168" s="63" t="s">
        <v>74</v>
      </c>
      <c r="C168" s="63" t="s">
        <v>32</v>
      </c>
      <c r="D168" s="64" t="s">
        <v>77</v>
      </c>
      <c r="E168" s="64" t="s">
        <v>75</v>
      </c>
      <c r="F168" s="65" t="s">
        <v>76</v>
      </c>
    </row>
    <row r="169" spans="1:6" ht="11.25" customHeight="1" thickBot="1">
      <c r="A169" s="225" t="s">
        <v>285</v>
      </c>
      <c r="B169" s="226" t="s">
        <v>262</v>
      </c>
      <c r="C169" s="298">
        <v>0</v>
      </c>
      <c r="D169" s="248">
        <v>0</v>
      </c>
      <c r="E169" s="227">
        <f>C169*D169</f>
        <v>0</v>
      </c>
      <c r="F169" s="247"/>
    </row>
    <row r="170" ht="16.5" customHeight="1" thickBot="1"/>
    <row r="171" spans="1:6" ht="30" customHeight="1" thickBot="1">
      <c r="A171" s="266" t="s">
        <v>263</v>
      </c>
      <c r="B171" s="270"/>
      <c r="C171" s="270"/>
      <c r="D171" s="271"/>
      <c r="E171" s="272"/>
      <c r="F171" s="263">
        <f>E169</f>
        <v>0</v>
      </c>
    </row>
    <row r="172" spans="1:6" ht="11.25" customHeight="1">
      <c r="A172" s="29"/>
      <c r="B172" s="29"/>
      <c r="C172" s="29"/>
      <c r="D172" s="30"/>
      <c r="E172" s="30"/>
      <c r="F172" s="249"/>
    </row>
    <row r="173" spans="1:6" ht="13.5" thickBot="1">
      <c r="A173" s="51"/>
      <c r="B173" s="51"/>
      <c r="C173" s="51"/>
      <c r="D173" s="91"/>
      <c r="E173" s="91"/>
      <c r="F173" s="91"/>
    </row>
    <row r="174" spans="1:6" ht="30" customHeight="1" thickBot="1">
      <c r="A174" s="266" t="s">
        <v>26</v>
      </c>
      <c r="B174" s="267"/>
      <c r="C174" s="267"/>
      <c r="D174" s="268"/>
      <c r="E174" s="269"/>
      <c r="F174" s="264">
        <f>D15</f>
        <v>8243.900311748324</v>
      </c>
    </row>
    <row r="175" spans="1:6" s="78" customFormat="1" ht="12.75">
      <c r="A175" s="302"/>
      <c r="B175" s="303"/>
      <c r="C175" s="303"/>
      <c r="D175" s="304"/>
      <c r="E175" s="304"/>
      <c r="F175" s="305"/>
    </row>
    <row r="177" spans="1:2" ht="12.75">
      <c r="A177" s="139" t="s">
        <v>264</v>
      </c>
      <c r="B177" s="141"/>
    </row>
    <row r="178" ht="13.5" thickBot="1"/>
    <row r="179" spans="1:6" ht="11.25" customHeight="1" thickBot="1">
      <c r="A179" s="62" t="s">
        <v>73</v>
      </c>
      <c r="B179" s="63" t="s">
        <v>74</v>
      </c>
      <c r="C179" s="63" t="s">
        <v>32</v>
      </c>
      <c r="D179" s="64" t="s">
        <v>77</v>
      </c>
      <c r="E179" s="64" t="s">
        <v>75</v>
      </c>
      <c r="F179" s="65" t="s">
        <v>76</v>
      </c>
    </row>
    <row r="180" spans="1:6" ht="13.5" thickBot="1">
      <c r="A180" s="240" t="s">
        <v>25</v>
      </c>
      <c r="B180" s="241" t="s">
        <v>3</v>
      </c>
      <c r="C180" s="250">
        <f>+C234*100</f>
        <v>29.970000000000002</v>
      </c>
      <c r="D180" s="230">
        <f>+F174</f>
        <v>8243.900311748324</v>
      </c>
      <c r="E180" s="230">
        <f>C180*D180/100</f>
        <v>2470.696923430973</v>
      </c>
      <c r="F180" s="228"/>
    </row>
    <row r="181" ht="11.25" customHeight="1" thickBot="1">
      <c r="F181" s="231">
        <f>+E180</f>
        <v>2470.696923430973</v>
      </c>
    </row>
    <row r="182" ht="17.25" customHeight="1" thickBot="1"/>
    <row r="183" spans="1:6" ht="30" customHeight="1" thickBot="1">
      <c r="A183" s="266" t="s">
        <v>65</v>
      </c>
      <c r="B183" s="270"/>
      <c r="C183" s="270"/>
      <c r="D183" s="271"/>
      <c r="E183" s="272"/>
      <c r="F183" s="263">
        <f>F181</f>
        <v>2470.696923430973</v>
      </c>
    </row>
    <row r="184" spans="1:9" s="4" customFormat="1" ht="7.5" customHeight="1" thickBot="1">
      <c r="A184" s="6"/>
      <c r="B184" s="6"/>
      <c r="C184" s="6"/>
      <c r="D184" s="7"/>
      <c r="E184" s="7"/>
      <c r="F184" s="7"/>
      <c r="I184" s="46"/>
    </row>
    <row r="185" spans="1:6" ht="30" customHeight="1" thickBot="1">
      <c r="A185" s="266" t="s">
        <v>27</v>
      </c>
      <c r="B185" s="267"/>
      <c r="C185" s="267"/>
      <c r="D185" s="268"/>
      <c r="E185" s="269"/>
      <c r="F185" s="273">
        <f>F174+F183</f>
        <v>10714.597235179297</v>
      </c>
    </row>
    <row r="186" spans="1:6" s="78" customFormat="1" ht="30" customHeight="1">
      <c r="A186" s="302"/>
      <c r="B186" s="303"/>
      <c r="C186" s="303"/>
      <c r="D186" s="304"/>
      <c r="E186" s="304"/>
      <c r="F186" s="314"/>
    </row>
    <row r="187" ht="12.75">
      <c r="I187" s="4"/>
    </row>
    <row r="188" spans="1:8" s="4" customFormat="1" ht="15.75" customHeight="1">
      <c r="A188" s="73"/>
      <c r="B188" s="74"/>
      <c r="C188" s="74"/>
      <c r="D188" s="75"/>
      <c r="E188" s="75"/>
      <c r="F188" s="75"/>
      <c r="G188" s="6"/>
      <c r="H188" s="6"/>
    </row>
    <row r="189" spans="1:9" ht="15.75" customHeight="1">
      <c r="A189" s="37"/>
      <c r="B189" s="7"/>
      <c r="C189" s="7"/>
      <c r="I189" s="4"/>
    </row>
    <row r="190" spans="1:6" s="4" customFormat="1" ht="12.75" customHeight="1">
      <c r="A190" s="37" t="s">
        <v>132</v>
      </c>
      <c r="B190" s="7"/>
      <c r="C190" s="7"/>
      <c r="D190" s="7"/>
      <c r="E190" s="7"/>
      <c r="F190" s="7"/>
    </row>
    <row r="191" spans="1:6" s="4" customFormat="1" ht="12.75" customHeight="1">
      <c r="A191" s="30"/>
      <c r="B191" s="41"/>
      <c r="C191" s="61"/>
      <c r="D191" s="7"/>
      <c r="E191" s="39"/>
      <c r="F191" s="39"/>
    </row>
    <row r="192" spans="1:6" s="4" customFormat="1" ht="12.75" customHeight="1" thickBot="1">
      <c r="A192" s="43" t="s">
        <v>33</v>
      </c>
      <c r="B192" s="44"/>
      <c r="C192" s="61"/>
      <c r="D192" s="319" t="s">
        <v>300</v>
      </c>
      <c r="E192" s="45"/>
      <c r="F192" s="45"/>
    </row>
    <row r="193" spans="1:6" s="4" customFormat="1" ht="12.75" customHeight="1">
      <c r="A193" s="251" t="s">
        <v>34</v>
      </c>
      <c r="B193" s="284">
        <v>0</v>
      </c>
      <c r="C193" s="316">
        <v>4.6711</v>
      </c>
      <c r="D193" s="315">
        <v>14763.73</v>
      </c>
      <c r="E193" s="3">
        <f>D193*C193/100</f>
        <v>689.62859203</v>
      </c>
      <c r="F193" s="7"/>
    </row>
    <row r="194" spans="1:6" s="4" customFormat="1" ht="12.75" customHeight="1">
      <c r="A194" s="252" t="s">
        <v>35</v>
      </c>
      <c r="B194" s="285">
        <v>0.08</v>
      </c>
      <c r="C194" s="61"/>
      <c r="E194" s="6" t="s">
        <v>301</v>
      </c>
      <c r="F194" s="7"/>
    </row>
    <row r="195" spans="1:6" s="4" customFormat="1" ht="12.75" customHeight="1">
      <c r="A195" s="252" t="s">
        <v>36</v>
      </c>
      <c r="B195" s="285">
        <v>0.03</v>
      </c>
      <c r="C195" s="61"/>
      <c r="F195" s="7"/>
    </row>
    <row r="196" spans="1:6" s="4" customFormat="1" ht="12.75" customHeight="1">
      <c r="A196" s="252" t="s">
        <v>37</v>
      </c>
      <c r="B196" s="285">
        <v>0.025</v>
      </c>
      <c r="C196" s="61"/>
      <c r="F196" s="7"/>
    </row>
    <row r="197" spans="1:6" s="4" customFormat="1" ht="12.75" customHeight="1">
      <c r="A197" s="252" t="s">
        <v>38</v>
      </c>
      <c r="B197" s="285">
        <v>0.006</v>
      </c>
      <c r="C197" s="61"/>
      <c r="F197" s="7"/>
    </row>
    <row r="198" spans="1:6" s="8" customFormat="1" ht="12.75">
      <c r="A198" s="252" t="s">
        <v>39</v>
      </c>
      <c r="B198" s="285">
        <v>0.01</v>
      </c>
      <c r="C198" s="61"/>
      <c r="E198" s="7"/>
      <c r="F198" s="7"/>
    </row>
    <row r="199" spans="1:6" s="8" customFormat="1" ht="12.75">
      <c r="A199" s="252" t="s">
        <v>40</v>
      </c>
      <c r="B199" s="285">
        <v>0.015</v>
      </c>
      <c r="C199" s="61"/>
      <c r="E199" s="7"/>
      <c r="F199" s="7"/>
    </row>
    <row r="200" spans="1:6" s="46" customFormat="1" ht="12.75" customHeight="1" thickBot="1">
      <c r="A200" s="253" t="s">
        <v>41</v>
      </c>
      <c r="B200" s="286">
        <v>0.002</v>
      </c>
      <c r="C200" s="61"/>
      <c r="D200" s="7"/>
      <c r="E200" s="7"/>
      <c r="F200" s="7"/>
    </row>
    <row r="201" spans="1:6" s="4" customFormat="1" ht="12.75" customHeight="1" thickBot="1">
      <c r="A201" s="254" t="s">
        <v>42</v>
      </c>
      <c r="B201" s="255">
        <f>SUM(B193:B200)</f>
        <v>0.16800000000000004</v>
      </c>
      <c r="C201" s="61"/>
      <c r="D201" s="7"/>
      <c r="E201" s="7"/>
      <c r="F201" s="7"/>
    </row>
    <row r="202" spans="1:6" s="4" customFormat="1" ht="12.75" customHeight="1">
      <c r="A202" s="30"/>
      <c r="B202" s="41"/>
      <c r="C202" s="61"/>
      <c r="D202" s="7"/>
      <c r="E202" s="7"/>
      <c r="F202" s="7"/>
    </row>
    <row r="203" spans="1:6" s="4" customFormat="1" ht="12.75" customHeight="1" thickBot="1">
      <c r="A203" s="43" t="s">
        <v>43</v>
      </c>
      <c r="B203" s="47"/>
      <c r="C203" s="61"/>
      <c r="D203" s="7"/>
      <c r="E203" s="7"/>
      <c r="F203" s="7"/>
    </row>
    <row r="204" spans="1:6" s="8" customFormat="1" ht="12.75" customHeight="1">
      <c r="A204" s="251" t="s">
        <v>44</v>
      </c>
      <c r="B204" s="284">
        <v>0.1108</v>
      </c>
      <c r="C204" s="61"/>
      <c r="D204" s="7"/>
      <c r="E204" s="7"/>
      <c r="F204" s="7"/>
    </row>
    <row r="205" spans="1:6" s="8" customFormat="1" ht="12.75">
      <c r="A205" s="252" t="s">
        <v>45</v>
      </c>
      <c r="B205" s="285">
        <v>0</v>
      </c>
      <c r="C205" s="61"/>
      <c r="D205" s="7"/>
      <c r="E205" s="7"/>
      <c r="F205" s="7"/>
    </row>
    <row r="206" spans="1:6" s="46" customFormat="1" ht="12.75" customHeight="1" thickBot="1">
      <c r="A206" s="253" t="s">
        <v>46</v>
      </c>
      <c r="B206" s="286">
        <v>0.0193</v>
      </c>
      <c r="C206" s="61"/>
      <c r="D206" s="7"/>
      <c r="E206" s="7"/>
      <c r="F206" s="7"/>
    </row>
    <row r="207" spans="1:6" s="4" customFormat="1" ht="12.75" customHeight="1" thickBot="1">
      <c r="A207" s="254" t="s">
        <v>42</v>
      </c>
      <c r="B207" s="255">
        <f>SUM(B204:B206)</f>
        <v>0.1301</v>
      </c>
      <c r="C207" s="61"/>
      <c r="D207" s="7"/>
      <c r="E207" s="39"/>
      <c r="F207" s="39"/>
    </row>
    <row r="208" spans="1:6" s="4" customFormat="1" ht="12.75" customHeight="1">
      <c r="A208" s="30"/>
      <c r="B208" s="41"/>
      <c r="C208" s="61"/>
      <c r="D208" s="7"/>
      <c r="E208" s="39"/>
      <c r="F208" s="39"/>
    </row>
    <row r="209" spans="1:6" s="8" customFormat="1" ht="12.75" customHeight="1" thickBot="1">
      <c r="A209" s="43" t="s">
        <v>47</v>
      </c>
      <c r="B209" s="47"/>
      <c r="C209" s="42"/>
      <c r="D209" s="3"/>
      <c r="E209" s="45"/>
      <c r="F209" s="45"/>
    </row>
    <row r="210" spans="1:6" s="46" customFormat="1" ht="12.75" customHeight="1">
      <c r="A210" s="256" t="s">
        <v>48</v>
      </c>
      <c r="B210" s="287">
        <v>0.0833</v>
      </c>
      <c r="C210" s="42"/>
      <c r="D210" s="3"/>
      <c r="E210" s="3"/>
      <c r="F210" s="3"/>
    </row>
    <row r="211" spans="1:6" s="4" customFormat="1" ht="12.75" customHeight="1" thickBot="1">
      <c r="A211" s="253" t="s">
        <v>194</v>
      </c>
      <c r="B211" s="288">
        <v>0.081</v>
      </c>
      <c r="C211" s="42"/>
      <c r="D211" s="3"/>
      <c r="E211" s="3"/>
      <c r="F211" s="3"/>
    </row>
    <row r="212" spans="1:6" s="4" customFormat="1" ht="12.75" customHeight="1" thickBot="1">
      <c r="A212" s="254" t="s">
        <v>42</v>
      </c>
      <c r="B212" s="255">
        <f>SUM(B210:B211)</f>
        <v>0.1643</v>
      </c>
      <c r="C212" s="42"/>
      <c r="D212" s="3"/>
      <c r="E212" s="39"/>
      <c r="F212" s="39"/>
    </row>
    <row r="213" spans="1:6" s="4" customFormat="1" ht="12.75" customHeight="1">
      <c r="A213" s="30"/>
      <c r="B213" s="41"/>
      <c r="C213" s="42"/>
      <c r="D213" s="3"/>
      <c r="E213" s="39"/>
      <c r="F213" s="39"/>
    </row>
    <row r="214" spans="1:6" s="8" customFormat="1" ht="13.5" thickBot="1">
      <c r="A214" s="43" t="s">
        <v>237</v>
      </c>
      <c r="B214" s="47"/>
      <c r="C214" s="42"/>
      <c r="D214" s="3"/>
      <c r="E214" s="45"/>
      <c r="F214" s="45"/>
    </row>
    <row r="215" spans="1:6" s="8" customFormat="1" ht="12.75">
      <c r="A215" s="256" t="s">
        <v>49</v>
      </c>
      <c r="B215" s="287">
        <f>+ROUND(B207*B201,4)</f>
        <v>0.0219</v>
      </c>
      <c r="C215" s="42"/>
      <c r="D215" s="3"/>
      <c r="E215" s="3"/>
      <c r="F215" s="3"/>
    </row>
    <row r="216" spans="1:6" s="8" customFormat="1" ht="13.5" thickBot="1">
      <c r="A216" s="257" t="s">
        <v>50</v>
      </c>
      <c r="B216" s="289">
        <f>+ROUND(B194*B205,4)</f>
        <v>0</v>
      </c>
      <c r="C216" s="48"/>
      <c r="D216" s="3"/>
      <c r="E216" s="3"/>
      <c r="F216" s="3"/>
    </row>
    <row r="217" spans="1:6" s="8" customFormat="1" ht="15.75" customHeight="1" thickBot="1">
      <c r="A217" s="30"/>
      <c r="B217" s="41"/>
      <c r="C217" s="61"/>
      <c r="D217" s="7"/>
      <c r="E217" s="39"/>
      <c r="F217" s="39"/>
    </row>
    <row r="218" spans="1:8" s="4" customFormat="1" ht="13.5" thickBot="1">
      <c r="A218" s="258" t="s">
        <v>195</v>
      </c>
      <c r="B218" s="259">
        <f>+B207+B212+B215+B216</f>
        <v>0.31629999999999997</v>
      </c>
      <c r="C218" s="42"/>
      <c r="D218" s="3"/>
      <c r="E218" s="39"/>
      <c r="F218" s="39"/>
      <c r="G218" s="6"/>
      <c r="H218" s="6"/>
    </row>
    <row r="219" spans="1:8" s="4" customFormat="1" ht="13.5" thickBot="1">
      <c r="A219" s="95" t="s">
        <v>5</v>
      </c>
      <c r="B219" s="132">
        <f>B201</f>
        <v>0.16800000000000004</v>
      </c>
      <c r="C219" s="42"/>
      <c r="D219" s="3"/>
      <c r="E219" s="39"/>
      <c r="F219" s="39"/>
      <c r="G219" s="6"/>
      <c r="H219" s="6"/>
    </row>
    <row r="220" spans="1:8" s="4" customFormat="1" ht="13.5" thickBot="1">
      <c r="A220" s="260" t="s">
        <v>203</v>
      </c>
      <c r="B220" s="132">
        <f>B218+B219</f>
        <v>0.4843</v>
      </c>
      <c r="C220" s="42"/>
      <c r="D220" s="3"/>
      <c r="E220" s="39"/>
      <c r="F220" s="39"/>
      <c r="G220" s="6"/>
      <c r="H220" s="6"/>
    </row>
    <row r="221" spans="1:3" ht="13.5" customHeight="1">
      <c r="A221" s="37"/>
      <c r="B221" s="7"/>
      <c r="C221" s="7"/>
    </row>
    <row r="222" spans="1:6" ht="8.25" customHeight="1">
      <c r="A222" s="73"/>
      <c r="B222" s="74"/>
      <c r="C222" s="74"/>
      <c r="D222" s="75"/>
      <c r="E222" s="75"/>
      <c r="F222" s="75"/>
    </row>
    <row r="223" spans="1:3" ht="13.5" customHeight="1">
      <c r="A223" s="37"/>
      <c r="B223" s="7"/>
      <c r="C223" s="7"/>
    </row>
    <row r="224" spans="1:3" ht="13.5" customHeight="1">
      <c r="A224" s="77" t="s">
        <v>95</v>
      </c>
      <c r="B224" s="78"/>
      <c r="C224" s="78"/>
    </row>
    <row r="225" spans="1:3" ht="13.5" customHeight="1" thickBot="1">
      <c r="A225" s="77"/>
      <c r="B225" s="78"/>
      <c r="C225" s="78"/>
    </row>
    <row r="226" spans="1:3" ht="13.5" customHeight="1">
      <c r="A226" s="79" t="s">
        <v>96</v>
      </c>
      <c r="B226" s="80" t="s">
        <v>97</v>
      </c>
      <c r="C226" s="261">
        <v>0.0701</v>
      </c>
    </row>
    <row r="227" spans="1:4" ht="13.5" customHeight="1">
      <c r="A227" s="81" t="s">
        <v>98</v>
      </c>
      <c r="B227" s="82" t="s">
        <v>99</v>
      </c>
      <c r="C227" s="262">
        <v>0.0095</v>
      </c>
      <c r="D227" s="83"/>
    </row>
    <row r="228" spans="1:3" ht="12.75">
      <c r="A228" s="81" t="s">
        <v>100</v>
      </c>
      <c r="B228" s="82" t="s">
        <v>101</v>
      </c>
      <c r="C228" s="262">
        <v>0.129</v>
      </c>
    </row>
    <row r="229" spans="1:3" ht="14.25" customHeight="1">
      <c r="A229" s="81" t="s">
        <v>102</v>
      </c>
      <c r="B229" s="82" t="s">
        <v>103</v>
      </c>
      <c r="C229" s="262">
        <v>0.01</v>
      </c>
    </row>
    <row r="230" spans="1:4" ht="12.75">
      <c r="A230" s="81" t="s">
        <v>165</v>
      </c>
      <c r="B230" s="402" t="s">
        <v>104</v>
      </c>
      <c r="C230" s="317">
        <v>0.034979</v>
      </c>
      <c r="D230" s="7" t="s">
        <v>299</v>
      </c>
    </row>
    <row r="231" spans="1:4" ht="13.5" thickBot="1">
      <c r="A231" s="84" t="s">
        <v>105</v>
      </c>
      <c r="B231" s="403"/>
      <c r="C231" s="318">
        <v>0.017867</v>
      </c>
      <c r="D231" s="7" t="str">
        <f>D230</f>
        <v>Tabela apresentada pela empresa</v>
      </c>
    </row>
    <row r="232" spans="1:3" ht="12.75">
      <c r="A232" s="85" t="s">
        <v>106</v>
      </c>
      <c r="B232" s="86"/>
      <c r="C232" s="87"/>
    </row>
    <row r="233" spans="1:3" ht="13.5" thickBot="1">
      <c r="A233" s="88" t="s">
        <v>107</v>
      </c>
      <c r="B233" s="89"/>
      <c r="C233" s="90"/>
    </row>
    <row r="234" spans="1:3" ht="13.5" thickBot="1">
      <c r="A234" s="274" t="s">
        <v>108</v>
      </c>
      <c r="B234" s="267"/>
      <c r="C234" s="275">
        <f>ROUND((((1+C226+C227)*(1+C228)*(1+C229))/(1-(C230+C231))-1),4)</f>
        <v>0.2997</v>
      </c>
    </row>
  </sheetData>
  <sheetProtection/>
  <mergeCells count="22">
    <mergeCell ref="B230:B231"/>
    <mergeCell ref="A27:D27"/>
    <mergeCell ref="C61:E61"/>
    <mergeCell ref="D11:E11"/>
    <mergeCell ref="A60:E60"/>
    <mergeCell ref="D13:E13"/>
    <mergeCell ref="A2:F2"/>
    <mergeCell ref="A5:F5"/>
    <mergeCell ref="D14:E14"/>
    <mergeCell ref="A22:C22"/>
    <mergeCell ref="A11:C11"/>
    <mergeCell ref="D17:E17"/>
    <mergeCell ref="A1:F1"/>
    <mergeCell ref="A57:D57"/>
    <mergeCell ref="A15:C15"/>
    <mergeCell ref="D15:E15"/>
    <mergeCell ref="A44:D44"/>
    <mergeCell ref="A6:F6"/>
    <mergeCell ref="D12:E12"/>
    <mergeCell ref="D16:E16"/>
    <mergeCell ref="D9:E9"/>
    <mergeCell ref="D10:E10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80" r:id="rId2"/>
  <headerFooter alignWithMargins="0">
    <oddFooter>&amp;R&amp;P de &amp;N</oddFooter>
  </headerFooter>
  <rowBreaks count="5" manualBreakCount="5">
    <brk id="63" max="5" man="1"/>
    <brk id="96" max="5" man="1"/>
    <brk id="146" max="5" man="1"/>
    <brk id="165" max="5" man="1"/>
    <brk id="176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140625" style="96" customWidth="1"/>
    <col min="2" max="2" width="65.421875" style="96" customWidth="1"/>
    <col min="3" max="3" width="13.421875" style="96" customWidth="1"/>
    <col min="4" max="16384" width="9.140625" style="96" customWidth="1"/>
  </cols>
  <sheetData>
    <row r="1" spans="1:3" ht="16.5" thickBot="1">
      <c r="A1" s="100" t="s">
        <v>157</v>
      </c>
      <c r="B1" s="100" t="s">
        <v>137</v>
      </c>
      <c r="C1" s="101" t="s">
        <v>3</v>
      </c>
    </row>
    <row r="2" spans="1:3" ht="15.75">
      <c r="A2" s="412" t="s">
        <v>138</v>
      </c>
      <c r="B2" s="102" t="s">
        <v>139</v>
      </c>
      <c r="C2" s="415">
        <v>0.42</v>
      </c>
    </row>
    <row r="3" spans="1:3" ht="31.5" thickBot="1">
      <c r="A3" s="414"/>
      <c r="B3" s="103" t="s">
        <v>160</v>
      </c>
      <c r="C3" s="417"/>
    </row>
    <row r="4" spans="1:3" ht="15.75">
      <c r="A4" s="419" t="s">
        <v>140</v>
      </c>
      <c r="B4" s="104" t="s">
        <v>141</v>
      </c>
      <c r="C4" s="421">
        <v>0.03</v>
      </c>
    </row>
    <row r="5" spans="1:3" ht="16.5" thickBot="1">
      <c r="A5" s="420"/>
      <c r="B5" s="105" t="s">
        <v>161</v>
      </c>
      <c r="C5" s="422"/>
    </row>
    <row r="6" spans="1:3" ht="15.75">
      <c r="A6" s="412" t="s">
        <v>142</v>
      </c>
      <c r="B6" s="109" t="s">
        <v>143</v>
      </c>
      <c r="C6" s="106">
        <v>2.15</v>
      </c>
    </row>
    <row r="7" spans="1:3" ht="30">
      <c r="A7" s="413"/>
      <c r="B7" s="110" t="s">
        <v>144</v>
      </c>
      <c r="C7" s="107">
        <v>2.5</v>
      </c>
    </row>
    <row r="8" spans="1:3" ht="30.75" thickBot="1">
      <c r="A8" s="414"/>
      <c r="B8" s="111" t="s">
        <v>145</v>
      </c>
      <c r="C8" s="108"/>
    </row>
    <row r="9" spans="1:3" ht="15.75">
      <c r="A9" s="419" t="s">
        <v>146</v>
      </c>
      <c r="B9" s="104" t="s">
        <v>147</v>
      </c>
      <c r="C9" s="421">
        <v>1.94</v>
      </c>
    </row>
    <row r="10" spans="1:3" ht="30.75">
      <c r="A10" s="423"/>
      <c r="B10" s="112" t="s">
        <v>162</v>
      </c>
      <c r="C10" s="424"/>
    </row>
    <row r="11" spans="1:3" ht="30">
      <c r="A11" s="423"/>
      <c r="B11" s="113" t="s">
        <v>163</v>
      </c>
      <c r="C11" s="424"/>
    </row>
    <row r="12" spans="1:3" ht="15.75" thickBot="1">
      <c r="A12" s="420"/>
      <c r="B12" s="105" t="s">
        <v>148</v>
      </c>
      <c r="C12" s="422"/>
    </row>
    <row r="13" spans="1:3" ht="31.5">
      <c r="A13" s="412" t="s">
        <v>149</v>
      </c>
      <c r="B13" s="109" t="s">
        <v>150</v>
      </c>
      <c r="C13" s="415">
        <v>0.71</v>
      </c>
    </row>
    <row r="14" spans="1:3" ht="15">
      <c r="A14" s="413"/>
      <c r="B14" s="114" t="s">
        <v>151</v>
      </c>
      <c r="C14" s="416"/>
    </row>
    <row r="15" spans="1:3" ht="15.75">
      <c r="A15" s="413"/>
      <c r="B15" s="114" t="s">
        <v>164</v>
      </c>
      <c r="C15" s="416"/>
    </row>
    <row r="16" spans="1:3" ht="30">
      <c r="A16" s="413"/>
      <c r="B16" s="115" t="s">
        <v>163</v>
      </c>
      <c r="C16" s="416"/>
    </row>
    <row r="17" spans="1:3" ht="15.75" thickBot="1">
      <c r="A17" s="414"/>
      <c r="B17" s="116" t="s">
        <v>152</v>
      </c>
      <c r="C17" s="417"/>
    </row>
    <row r="18" spans="1:3" ht="15.75">
      <c r="A18" s="418" t="s">
        <v>153</v>
      </c>
      <c r="B18" s="117" t="s">
        <v>154</v>
      </c>
      <c r="C18" s="119">
        <v>2.15</v>
      </c>
    </row>
    <row r="19" spans="1:3" ht="30">
      <c r="A19" s="418"/>
      <c r="B19" s="118" t="s">
        <v>155</v>
      </c>
      <c r="C19" s="120">
        <v>2.5</v>
      </c>
    </row>
    <row r="20" spans="1:3" ht="30.75" thickBot="1">
      <c r="A20" s="418"/>
      <c r="B20" s="118" t="s">
        <v>156</v>
      </c>
      <c r="C20" s="121"/>
    </row>
    <row r="21" spans="1:3" ht="15.75" thickBot="1">
      <c r="A21" s="124"/>
      <c r="B21" s="123" t="s">
        <v>166</v>
      </c>
      <c r="C21" s="122">
        <f>C2+C4+C7+C9+C13+C19</f>
        <v>8.100000000000001</v>
      </c>
    </row>
    <row r="22" spans="1:2" ht="15">
      <c r="A22" s="96" t="s">
        <v>158</v>
      </c>
      <c r="B22" s="99" t="s">
        <v>159</v>
      </c>
    </row>
  </sheetData>
  <sheetProtection/>
  <mergeCells count="10">
    <mergeCell ref="A13:A17"/>
    <mergeCell ref="C13:C17"/>
    <mergeCell ref="A18:A20"/>
    <mergeCell ref="A2:A3"/>
    <mergeCell ref="C2:C3"/>
    <mergeCell ref="A4:A5"/>
    <mergeCell ref="C4:C5"/>
    <mergeCell ref="A6:A8"/>
    <mergeCell ref="A9:A12"/>
    <mergeCell ref="C9:C12"/>
  </mergeCells>
  <hyperlinks>
    <hyperlink ref="B22" r:id="rId1" display="https://www.licitacao.online/planilha/modulo44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Marcelo Hoffmann</dc:creator>
  <cp:keywords/>
  <dc:description/>
  <cp:lastModifiedBy>Licitação</cp:lastModifiedBy>
  <cp:lastPrinted>2020-12-15T17:56:53Z</cp:lastPrinted>
  <dcterms:created xsi:type="dcterms:W3CDTF">2000-12-13T10:02:50Z</dcterms:created>
  <dcterms:modified xsi:type="dcterms:W3CDTF">2020-12-15T18:22:39Z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