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EstaPasta_de_trabalho"/>
  <bookViews>
    <workbookView xWindow="0" yWindow="0" windowWidth="20490" windowHeight="7755" activeTab="3"/>
  </bookViews>
  <sheets>
    <sheet name="DADOS" sheetId="16" r:id="rId1"/>
    <sheet name="BDI (1)" sheetId="17" state="hidden" r:id="rId2"/>
    <sheet name="BDI (2)" sheetId="18" state="hidden" r:id="rId3"/>
    <sheet name="PO" sheetId="12" r:id="rId4"/>
    <sheet name="PLQ" sheetId="13" r:id="rId5"/>
    <sheet name="CFF" sheetId="11" r:id="rId6"/>
  </sheets>
  <definedNames>
    <definedName name="_xlnm.Print_Area" localSheetId="1">'BDI (1)'!$I$1:$R$50</definedName>
    <definedName name="_xlnm.Print_Area" localSheetId="2">'BDI (2)'!$I$1:$R$50</definedName>
    <definedName name="_xlnm.Print_Area" localSheetId="5">'CFF'!$L$1:$X$90</definedName>
    <definedName name="_xlnm.Print_Area" localSheetId="0">'DADOS'!$A$1:$X$87</definedName>
    <definedName name="_xlnm.Print_Area" localSheetId="4">'PLQ'!$B$1:$BD$140</definedName>
    <definedName name="_xlnm.Print_Area" localSheetId="3">'PO'!$K$1:$T$149</definedName>
    <definedName name="DATABASE">TEXT(Import.DataBase,"mm-aaaa")</definedName>
    <definedName name="CFF.ColunaPadrão">'CFF'!$AC:$AC</definedName>
    <definedName name="CFF.Colunas">'CFF'!$P$10:$X$10</definedName>
    <definedName name="CFF.Dados">OFFSET('CFF'!$L$17,1,0):OFFSET('CFF'!$X$84,-1,-1)</definedName>
    <definedName name="CFF.IncluirLinha">MAX('PO'!$V$12:$V$134)*CFF.NumLinha-ROW('CFF'!$F$84)+ROW('CFF'!$F$17)+1</definedName>
    <definedName name="CFF.Item">OFFSET('CFF'!$L$17,1,0):OFFSET('CFF'!$X$84,-1,-1)</definedName>
    <definedName name="CFF.LinhaPadrão">'CFF'!$A$11:$W$11</definedName>
    <definedName name="CFF.NumLinha">ROW('CFF'!$D$14)-ROW('CFF'!$D$10)-1</definedName>
    <definedName name="Código" localSheetId="3">'PO'!$M1</definedName>
    <definedName name="Composições.LinhaPadrão" localSheetId="2">#REF!</definedName>
    <definedName name="Composições.LinhaPadrão">#REF!</definedName>
    <definedName name="Cotações.LinhaPadrão" localSheetId="2">#REF!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OFFSET('PO'!$M$12,1,0):OFFSET('PO'!$M$134,-1,0)</definedName>
    <definedName name="Import.CR">'DADOS'!$A$29</definedName>
    <definedName name="Import.CTEF">'DADOS'!$A$43</definedName>
    <definedName name="Import.CustoUnitário">OFFSET('PO'!$Q$12,1,0):OFFSET('PO'!$Q$134,-1,0)</definedName>
    <definedName name="Import.DadosBDI">'DADOS'!$S$108:$S$112</definedName>
    <definedName name="Import.DataAssinaturaCTEF">'DADOS'!$U$43</definedName>
    <definedName name="Import.DataBase">'DADOS'!$A$38</definedName>
    <definedName name="Import.DataBaseLicit">'DADOS'!$H$43</definedName>
    <definedName name="Import.DataCot" localSheetId="2">OFFSET(#REF!,1,0):OFFSET(#REF!,-1,0)</definedName>
    <definedName name="Import.DataCot">OFFSET(#REF!,1,0):OFFSET(#REF!,-1,0)</definedName>
    <definedName name="Import.DataCotIndice" localSheetId="2">OFFSET(#REF!,1,0):OFFSET(#REF!,-1,0)</definedName>
    <definedName name="Import.DataCotIndice">OFFSET(#REF!,1,0):OFFSET(#REF!,-1,0)</definedName>
    <definedName name="Import.DataInícioObra">'DADOS'!$A$48</definedName>
    <definedName name="Import.DescComp" localSheetId="2">OFFSET(#REF!,1,0):OFFSET(#REF!,-1,0)</definedName>
    <definedName name="Import.DescComp">OFFSET(#REF!,1,0):OFFSET(#REF!,-1,0)</definedName>
    <definedName name="Import.DescCot" localSheetId="2">OFFSET(#REF!,1,0):OFFSET(#REF!,-1,0)</definedName>
    <definedName name="Import.DescCot">OFFSET(#REF!,1,0):OFFSET(#REF!,-1,0)</definedName>
    <definedName name="Import.DescLote">'DADOS'!$G$38</definedName>
    <definedName name="Import.Descrição">OFFSET('PO'!$N$12,1,0):OFFSET('PO'!$N$134,-1,0)</definedName>
    <definedName name="Import.Desoneracao">'DADOS'!$C$38</definedName>
    <definedName name="Import.DesoneracaoLicit">'DADOS'!$J$43</definedName>
    <definedName name="Import.Empresa">'DADOS'!$C$43</definedName>
    <definedName name="Import.FontComp" localSheetId="2">OFFSET(#REF!,1,0):OFFSET(#REF!,-1,0)</definedName>
    <definedName name="Import.FontComp">OFFSET(#REF!,1,0):OFFSET(#REF!,-1,0)</definedName>
    <definedName name="Import.Fonte">OFFSET('PO'!$L$12,1,0):OFFSET('PO'!$L$134,-1,0)</definedName>
    <definedName name="Import.FrenteDeObra">'PLQ'!$F$9:OFFSET('PLQ'!$BD$9,0,-1)</definedName>
    <definedName name="Import.Gestor">'DADOS'!$C$29</definedName>
    <definedName name="Import.IndiceAtual" localSheetId="2">OFFSET(#REF!,1,0):OFFSET(#REF!,-1,0)</definedName>
    <definedName name="Import.IndiceAtual">OFFSET(#REF!,1,0):OFFSET(#REF!,-1,0)</definedName>
    <definedName name="Import.IndiceCot" localSheetId="2">OFFSET(#REF!,1,0):OFFSET(#REF!,-1,0)</definedName>
    <definedName name="Import.IndiceCot">OFFSET(#REF!,1,0):OFFSET(#REF!,-1,0)</definedName>
    <definedName name="Import.Item">OFFSET('PO'!$K$12,1,0):OFFSET('PO'!$K$134,-1,0)</definedName>
    <definedName name="Import.Localidade">'DADOS'!$K$32</definedName>
    <definedName name="Import.LocalSINAPI">'DADOS'!$D$38</definedName>
    <definedName name="Import.Município">'DADOS'!$G$32</definedName>
    <definedName name="Import.Nível">OFFSET('PO'!$J$12,1,0):OFFSET('PO'!$J$134,-1,0)</definedName>
    <definedName name="Import.NomeEmpresaForn" localSheetId="2">OFFSET(#REF!,1,0):OFFSET(#REF!,-1,0)</definedName>
    <definedName name="Import.NomeEmpresaForn">OFFSET(#REF!,1,0):OFFSET(#REF!,-1,0)</definedName>
    <definedName name="Import.ObjetoCR">'DADOS'!$P$29</definedName>
    <definedName name="Import.ObjetoCTEF">'DADOS'!$O$43</definedName>
    <definedName name="Import.ObsComp" localSheetId="2">OFFSET(#REF!,1,0):OFFSET(#REF!,-1,0)</definedName>
    <definedName name="Import.ObsComp">OFFSET(#REF!,1,0):OFFSET(#REF!,-1,0)</definedName>
    <definedName name="Import.ObsCot" localSheetId="2">OFFSET(#REF!,1,0):OFFSET(#REF!,-1,0)</definedName>
    <definedName name="Import.ObsCot">OFFSET(#REF!,1,0):OFFSET(#REF!,-1,0)</definedName>
    <definedName name="Import.ObsForn" localSheetId="2">OFFSET(#REF!,1,0):OFFSET(#REF!,-1,0)</definedName>
    <definedName name="Import.ObsForn">OFFSET(#REF!,1,0):OFFSET(#REF!,-1,0)</definedName>
    <definedName name="Import.ObsIndice" localSheetId="2">OFFSET(#REF!,1,0):OFFSET(#REF!,-1,0)</definedName>
    <definedName name="Import.ObsIndice">OFFSET(#REF!,1,0):OFFSET(#REF!,-1,0)</definedName>
    <definedName name="Import.PLQ">OFFSET('PLQ'!$F$12,1,0):OFFSET('PLQ'!$BD$134,-1,-1)</definedName>
    <definedName name="Import.POArred">'PO'!$X$3:$X$7</definedName>
    <definedName name="Import.PreçoTotal">OFFSET('PO'!$T$12,1,0):OFFSET('PO'!$T$134,-1,0)</definedName>
    <definedName name="Import.PreçoUnitário">OFFSET('PO'!$S$12,1,0):OFFSET('PO'!$S$134,-1,0)</definedName>
    <definedName name="Import.Programa">'DADOS'!$F$29</definedName>
    <definedName name="Import.Proponente">'DADOS'!$A$32</definedName>
    <definedName name="Import.Quantidade">OFFSET('PO'!$P$12,1,0):OFFSET('PO'!$P$134,-1,0)</definedName>
    <definedName name="Import.RegimeExecução">'DADOS'!$K$43</definedName>
    <definedName name="Import.TelefoneForn" localSheetId="2">OFFSET(#REF!,1,0):OFFSET(#REF!,-1,0)</definedName>
    <definedName name="Import.TelefoneForn">OFFSET(#REF!,1,0):OFFSET(#REF!,-1,0)</definedName>
    <definedName name="Import.TipoComp" localSheetId="2">OFFSET(#REF!,1,0):OFFSET(#REF!,-1,0)</definedName>
    <definedName name="Import.TipoComp">OFFSET(#REF!,1,0):OFFSET(#REF!,-1,0)</definedName>
    <definedName name="Import.TipoCot" localSheetId="2">OFFSET(#REF!,1,0):OFFSET(#REF!,-1,0)</definedName>
    <definedName name="Import.TipoCot">OFFSET(#REF!,1,0):OFFSET(#REF!,-1,0)</definedName>
    <definedName name="Import.Unidade">OFFSET('PO'!$O$12,1,0):OFFSET('PO'!$O$134,-1,0)</definedName>
    <definedName name="Import.UnidadeComp" localSheetId="2">OFFSET(#REF!,1,0):OFFSET(#REF!,-1,0)</definedName>
    <definedName name="Import.UnidadeComp">OFFSET(#REF!,1,0):OFFSET(#REF!,-1,0)</definedName>
    <definedName name="Import.UnidCot" localSheetId="2">OFFSET(#REF!,1,0):OFFSET(#REF!,-1,0)</definedName>
    <definedName name="Import.UnidCot">OFFSET(#REF!,1,0):OFFSET(#REF!,-1,0)</definedName>
    <definedName name="Import.Valor1Indice" localSheetId="2">OFFSET(#REF!,1,0):OFFSET(#REF!,-1,0)</definedName>
    <definedName name="Import.Valor1Indice">OFFSET(#REF!,1,0):OFFSET(#REF!,-1,0)</definedName>
    <definedName name="Import.Valor2Indice" localSheetId="2">OFFSET(#REF!,1,0):OFFSET(#REF!,-1,0)</definedName>
    <definedName name="Import.Valor2Indice">OFFSET(#REF!,1,0):OFFSET(#REF!,-1,0)</definedName>
    <definedName name="Import.ValorBDI">OFFSET('PO'!$Z$12,1,0):OFFSET('PO'!$Z$134,-1,0)</definedName>
    <definedName name="Import.ValorCot" localSheetId="2">OFFSET(#REF!,1,0):OFFSET(#REF!,-1,0)</definedName>
    <definedName name="Import.ValorCot">OFFSET(#REF!,1,0):OFFSET(#REF!,-1,0)</definedName>
    <definedName name="Import.Vigência">'DADOS'!$W$43</definedName>
    <definedName name="Índices.LinhaPadrão" localSheetId="2">#REF!</definedName>
    <definedName name="Índices.LinhaPadrão">#REF!</definedName>
    <definedName name="Linhacabeçalhodados">'DADOS'!$A$220:$X$220</definedName>
    <definedName name="LinhaEncargosSociais">'PO'!$K$135</definedName>
    <definedName name="linhaSINAPIxls" localSheetId="3">'PO'!$X1</definedName>
    <definedName name="ListaFornecedor" localSheetId="2">OFFSET(#REF!,0,0,MAX(#REF!)+1)</definedName>
    <definedName name="ListaFornecedor">OFFSET(#REF!,0,0,MAX(#REF!)+1)</definedName>
    <definedName name="ListaIndice" localSheetId="2">OFFSET(#REF!,1,0,MAX(#REF!))</definedName>
    <definedName name="ListaIndice">OFFSET(#REF!,1,0,MAX(#REF!))</definedName>
    <definedName name="NMaxCrono">'CFF'!$A$9</definedName>
    <definedName name="Objeto">'DADOS'!$A$1</definedName>
    <definedName name="ORÇAMENTO.OpcaoCusto">'PO'!$Q$10</definedName>
    <definedName name="PLQ.ColunaPadrão">'PLQ'!$BI:$BI</definedName>
    <definedName name="PLQ.Colunas">'PLQ'!$F$10:$BD$10</definedName>
    <definedName name="PLQ.FormulaQuant">'PLQ'!$E$7</definedName>
    <definedName name="PLQ.Item">'PLQ'!$B$9:OFFSET('PLQ'!$B$134,-1,0)</definedName>
    <definedName name="PLQ.LinhaPadrão">'PLQ'!$A$11:$BD$11</definedName>
    <definedName name="PLQ.qtde.frentes">COUNTA('PLQ'!$F$9:$BD$9)</definedName>
    <definedName name="PO.BDI">OFFSET('PO'!$R$12,1,0):OFFSET('PO'!$R$134,-1,0)</definedName>
    <definedName name="PO.CustoRef">OFFSET('PO'!$Y$12,1,0):OFFSET('PO'!$Y$134,-1,0)</definedName>
    <definedName name="PO.CustoUnitario">ROUND('PO'!$Q1,15-13*'PO'!$X$4)</definedName>
    <definedName name="PO.Dados">'PO'!$C$12:OFFSET('PO'!$Z$134,-1,0)</definedName>
    <definedName name="PO.FormulaQuant">'PO'!$P$9</definedName>
    <definedName name="PO.LinhaPadrão">'PO'!$C$11:$Z$11</definedName>
    <definedName name="PO.PrecoUnitario">ROUND('PO'!$S1,15-13*'PO'!$X$6)</definedName>
    <definedName name="PO.Quantidade">ROUND('PO'!$P1,15-13*'PO'!$X$3)</definedName>
    <definedName name="Referencia.Descricao" localSheetId="2">#N/A</definedName>
    <definedName name="Referencia.Descricao">IF(ISNUMBER('PO'!linhaSINAPIxls),INDEX(INDIRECT("'[Referência "&amp;_XLNM.DATABASE&amp;".xls]Banco'!$b:$g"),'PO'!linhaSINAPIxls,3),"")</definedName>
    <definedName name="Referencia.Desonerado" localSheetId="2">#N/A</definedName>
    <definedName name="Referencia.Desonerado">IF(ISNUMBER('PO'!linhaSINAPIxls),VALUE(INDEX(INDIRECT("'[Referência "&amp;_XLNM.DATABASE&amp;".xls]Banco'!$b:$g"),'PO'!linhaSINAPIxls,5)),0)</definedName>
    <definedName name="Referencia.NaoDesonerado" localSheetId="2">#N/A</definedName>
    <definedName name="Referencia.NaoDesonerado">IF(ISNUMBER('PO'!linhaSINAPIxls),VALUE(INDEX(INDIRECT("'[Referência "&amp;_XLNM.DATABASE&amp;".xls]Banco'!$b:$g"),'PO'!linhaSINAPIxls,6)),0)</definedName>
    <definedName name="Referencia.Unidade" localSheetId="2">#N/A</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Versao">'DADOS'!$A$2</definedName>
    <definedName name="VTOTAL1">ROUND(PO.Quantidade*PO.PrecoUnitario,15-13*'PO'!$X$7)</definedName>
    <definedName name="_xlnm.Print_Titles" localSheetId="3">'PO'!$10:$10</definedName>
    <definedName name="_xlnm.Print_Titles" localSheetId="4">'PLQ'!$B:$E,'PLQ'!$9:$10</definedName>
    <definedName name="_xlnm.Print_Titles" localSheetId="5">'CFF'!$L:$O,'CFF'!$10:$10</definedName>
  </definedNames>
  <calcPr calcId="152511"/>
  <extLst/>
</workbook>
</file>

<file path=xl/sharedStrings.xml><?xml version="1.0" encoding="utf-8"?>
<sst xmlns="http://schemas.openxmlformats.org/spreadsheetml/2006/main" count="1219" uniqueCount="452">
  <si>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</si>
  <si>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</si>
  <si>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</si>
  <si>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</si>
  <si>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</si>
  <si>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</si>
  <si>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</si>
  <si>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</si>
  <si>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</si>
  <si>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</si>
  <si>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</si>
  <si>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</si>
  <si>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</si>
  <si>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</si>
  <si>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</si>
  <si>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</si>
  <si>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</si>
  <si>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</si>
  <si>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</si>
  <si>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</si>
  <si>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</si>
  <si>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</si>
  <si>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</si>
  <si>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</si>
  <si>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</si>
  <si>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</si>
  <si>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</si>
  <si>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</si>
  <si>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</si>
  <si>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</si>
  <si>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</si>
  <si>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</si>
  <si>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</si>
  <si>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</si>
  <si>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</si>
  <si>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</si>
  <si>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</si>
  <si>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</si>
  <si>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</si>
  <si>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</si>
  <si>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</si>
  <si>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</si>
  <si>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</si>
  <si>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</si>
  <si>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</si>
  <si>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</si>
  <si>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</si>
  <si>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</si>
  <si>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</si>
  <si>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</si>
  <si>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</si>
  <si>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</si>
  <si>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</si>
  <si>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</si>
  <si>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</si>
  <si>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</si>
  <si>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</si>
  <si>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</si>
  <si>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</si>
  <si>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</si>
  <si>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</si>
  <si>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</si>
  <si>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</si>
  <si>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</si>
  <si>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</si>
  <si>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</si>
  <si>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</si>
  <si>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</si>
  <si>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</si>
  <si>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</si>
  <si>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</si>
  <si>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</si>
  <si>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</si>
  <si>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</si>
  <si>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</si>
  <si>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</si>
  <si>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</si>
  <si>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</si>
  <si>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</si>
  <si>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</si>
  <si>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</si>
  <si>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</si>
  <si>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</si>
  <si>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</si>
  <si>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</si>
  <si>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</si>
  <si>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</si>
  <si>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</si>
  <si>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</si>
  <si>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</si>
  <si>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</si>
  <si>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</si>
  <si>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</si>
  <si>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</si>
  <si>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</si>
  <si>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</si>
  <si>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</si>
  <si>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</si>
  <si>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</si>
  <si>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</si>
  <si>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</si>
  <si>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</si>
  <si>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</si>
  <si>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</si>
  <si>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</si>
  <si>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</si>
  <si>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</si>
  <si>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</si>
  <si>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</si>
  <si>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</si>
  <si>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</si>
  <si>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</si>
  <si>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</si>
  <si>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</si>
  <si>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</si>
  <si>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</si>
  <si>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</si>
  <si>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</si>
  <si>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</si>
  <si>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</si>
  <si>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</si>
  <si>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</si>
  <si>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</si>
  <si>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</si>
  <si>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</si>
  <si>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</si>
  <si>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</si>
  <si>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</si>
  <si>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</si>
  <si>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</si>
  <si>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</si>
  <si>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</si>
  <si>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</si>
  <si>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</si>
  <si>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</si>
  <si>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</si>
  <si>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</si>
  <si>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</si>
  <si>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</si>
  <si>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</si>
  <si>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</si>
  <si>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</si>
  <si>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</si>
  <si>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</si>
  <si>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</si>
  <si>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</si>
  <si>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</si>
  <si>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</si>
  <si>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</si>
  <si>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</si>
  <si>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</si>
  <si>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</si>
  <si>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</si>
  <si>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</si>
  <si>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</si>
  <si>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</si>
  <si>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</si>
  <si>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</si>
  <si>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</si>
  <si>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</si>
  <si>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</si>
  <si>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</si>
  <si>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</si>
  <si>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</si>
  <si>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</si>
  <si>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</si>
  <si>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</si>
  <si>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</si>
  <si>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</si>
  <si>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</si>
  <si>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</si>
  <si>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</si>
  <si>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</si>
  <si>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</si>
  <si>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</si>
  <si>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</si>
  <si>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</si>
  <si>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</si>
  <si>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</si>
  <si>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</si>
  <si>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</si>
  <si>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</si>
  <si>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</si>
  <si>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</si>
  <si>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</si>
  <si>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</si>
  <si>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</si>
  <si>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</si>
  <si>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</si>
  <si>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</si>
  <si>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</si>
  <si>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</si>
  <si>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</si>
  <si>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</si>
  <si>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</si>
  <si>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</si>
  <si>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</si>
  <si>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</si>
  <si>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</si>
  <si>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</si>
  <si>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</si>
  <si>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</si>
  <si>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</si>
  <si>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</si>
  <si>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</si>
  <si>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</si>
  <si>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</si>
  <si>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</si>
  <si>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</si>
  <si>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</si>
  <si>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</si>
  <si>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</si>
  <si>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</si>
  <si>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</si>
  <si>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</si>
  <si>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</si>
  <si>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</si>
  <si>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</si>
  <si>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</si>
  <si>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</si>
  <si>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</si>
  <si>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</si>
  <si>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</si>
  <si>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</si>
  <si>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</si>
  <si>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</si>
  <si>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</si>
  <si>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</si>
  <si>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v007</t>
  </si>
  <si>
    <t>SERVIÇOS PRELIMINARES</t>
  </si>
  <si>
    <t>Milto Vendruscolo</t>
  </si>
  <si>
    <t>NÃO</t>
  </si>
  <si>
    <t xml:space="preserve">  Prefeito Municipal</t>
  </si>
  <si>
    <t>CENTRO</t>
  </si>
  <si>
    <t>SINAPI</t>
  </si>
  <si>
    <t>EXECUÇÃO DE PILAR EM CONCRETO ARMADO</t>
  </si>
  <si>
    <t>EXECUÇÃO DE SAPATA EM CONCRETO ARMADO</t>
  </si>
  <si>
    <t>93358</t>
  </si>
  <si>
    <t>COLOCAÇÃO DE DIVISÓRIAS EM GRANITO</t>
  </si>
  <si>
    <t>SINAPI-I</t>
  </si>
  <si>
    <t>TETO</t>
  </si>
  <si>
    <t>96116</t>
  </si>
  <si>
    <t>PINTURA</t>
  </si>
  <si>
    <t>4813</t>
  </si>
  <si>
    <t>4914</t>
  </si>
  <si>
    <t>102253</t>
  </si>
  <si>
    <t>PLACA DE OBRA (PARA CONSTRUCAO CIVIL) EM CHAPA GALVANIZADA *N. 22*, ADESIVADA, DE *2,4 X 1,2* M (SEM POSTES PARA FIXACAO)</t>
  </si>
  <si>
    <t xml:space="preserve">M2    </t>
  </si>
  <si>
    <t>M2</t>
  </si>
  <si>
    <t>M3</t>
  </si>
  <si>
    <t>CORTE E DOBRA DE AÇO CA-50, DIÂMETRO DE 10,0 MM, UTILIZADO EM ESTRUTURAS DIVERSAS, EXCETO LAJES. AF_12/2015</t>
  </si>
  <si>
    <t>KG</t>
  </si>
  <si>
    <t>CORTE E DOBRA DE AÇO CA-60, DIÂMETRO DE 5,0 MM, UTILIZADO EM ESTRUTURAS DIVERSAS, EXCETO LAJES. AF_12/2015</t>
  </si>
  <si>
    <t>CHAPISCO APLICADO EM ALVENARIA (COM PRESENÇA DE VÃOS) E ESTRUTURAS DE CONCRETO DE FACHADA, COM COLHER DE PEDREIRO.  ARGAMASSA TRAÇO 1:3 COM PREPARO MANUAL. AF_06/2014</t>
  </si>
  <si>
    <t>EMBOÇO OU MASSA ÚNICA EM ARGAMASSA TRAÇO 1:2:8, PREPARO MECÂNICO COM BETONEIRA 400 L, APLICADA MANUALMENTE EM PANOS DE FACHADA COM PRESENÇA DE VÃOS, ESPESSURA DE 25 MM. AF_06/2014</t>
  </si>
  <si>
    <t>FORRO EM RÉGUAS DE PVC, FRISADO, PARA AMBIENTES COMERCIAIS, INCLUSIVE ESTRUTURA DE FIXAÇÃO. AF_05/2017_P</t>
  </si>
  <si>
    <t>DIVISORIA SANITÁRIA, TIPO CABINE, EM GRANITO CINZA POLIDO, ESP = 3CM, ASSENTADO COM ARGAMASSA COLANTE AC III-E, EXCLUSIVE FERRAGENS. AF_01/2021</t>
  </si>
  <si>
    <t>36250</t>
  </si>
  <si>
    <t>11186</t>
  </si>
  <si>
    <t>99059</t>
  </si>
  <si>
    <t xml:space="preserve"> EXECUÇÃO DA ESTRUTURA EM CONCRETO ARMADO</t>
  </si>
  <si>
    <t>96558</t>
  </si>
  <si>
    <t>INSTALAÇÃO HIDRÁULICAS</t>
  </si>
  <si>
    <t>INSTALAÇÕES SANITÁRIAS</t>
  </si>
  <si>
    <t>LOUÇAS E METAIS</t>
  </si>
  <si>
    <t>PAREDES</t>
  </si>
  <si>
    <t>92803</t>
  </si>
  <si>
    <t>EXECUÇÃO DE VIGAS DO PISO  EM CONCRETO ARMADO</t>
  </si>
  <si>
    <t>9868</t>
  </si>
  <si>
    <t>89617</t>
  </si>
  <si>
    <t>3904</t>
  </si>
  <si>
    <t>3903</t>
  </si>
  <si>
    <t>3862</t>
  </si>
  <si>
    <t>89798</t>
  </si>
  <si>
    <t>20157</t>
  </si>
  <si>
    <t>20149</t>
  </si>
  <si>
    <t>1970</t>
  </si>
  <si>
    <t>1968</t>
  </si>
  <si>
    <t>97901</t>
  </si>
  <si>
    <t>39366</t>
  </si>
  <si>
    <t>39362</t>
  </si>
  <si>
    <t>89848</t>
  </si>
  <si>
    <t>89857</t>
  </si>
  <si>
    <t>89814</t>
  </si>
  <si>
    <t>89833</t>
  </si>
  <si>
    <t>104352</t>
  </si>
  <si>
    <t>86915</t>
  </si>
  <si>
    <t>6005</t>
  </si>
  <si>
    <t>377</t>
  </si>
  <si>
    <t>95546</t>
  </si>
  <si>
    <t>44019</t>
  </si>
  <si>
    <t>100859</t>
  </si>
  <si>
    <t>6024</t>
  </si>
  <si>
    <t>93396</t>
  </si>
  <si>
    <t>102255</t>
  </si>
  <si>
    <t>IMPERMEABILIZAÇÃO</t>
  </si>
  <si>
    <t>COBERTURA</t>
  </si>
  <si>
    <t>92580</t>
  </si>
  <si>
    <t>INSTALAÇÕES ELÉTRICAS</t>
  </si>
  <si>
    <t>91852</t>
  </si>
  <si>
    <t>91926</t>
  </si>
  <si>
    <t>91928</t>
  </si>
  <si>
    <t>91930</t>
  </si>
  <si>
    <t>SINAPI-i</t>
  </si>
  <si>
    <t>93664</t>
  </si>
  <si>
    <t>91953</t>
  </si>
  <si>
    <t>91959</t>
  </si>
  <si>
    <t>91975</t>
  </si>
  <si>
    <t>91992</t>
  </si>
  <si>
    <t>91996</t>
  </si>
  <si>
    <t>92000</t>
  </si>
  <si>
    <t>103782</t>
  </si>
  <si>
    <t>39391</t>
  </si>
  <si>
    <t>93662</t>
  </si>
  <si>
    <t>93661</t>
  </si>
  <si>
    <t>CONSTRUÇÃO DE CTG</t>
  </si>
  <si>
    <t>CONSTRUÇÃO</t>
  </si>
  <si>
    <t>MUNICÍPIO DE ENTRE RIOS DO SUL</t>
  </si>
  <si>
    <t>ENTRE RIOS DO SUL/RS</t>
  </si>
  <si>
    <t>CONSTRUÇÃO DO CENTRO DE TRADIÇOES GAUCHAS RECANTO DOS XIRUS</t>
  </si>
  <si>
    <t xml:space="preserve">      Irson Milani</t>
  </si>
  <si>
    <t>COLOCAÇÃO DE ESQUADRIAS</t>
  </si>
  <si>
    <t>EXECUÇÃO DE CINTA DE COBERTURA</t>
  </si>
  <si>
    <t>95240</t>
  </si>
  <si>
    <t>92802</t>
  </si>
  <si>
    <t>97096</t>
  </si>
  <si>
    <t>96624</t>
  </si>
  <si>
    <t>10917</t>
  </si>
  <si>
    <t>87251</t>
  </si>
  <si>
    <t>101748</t>
  </si>
  <si>
    <t>95471</t>
  </si>
  <si>
    <t>87269</t>
  </si>
  <si>
    <t>REVESTIMENTOS DE PAREDES INTERNAS</t>
  </si>
  <si>
    <t>Não</t>
  </si>
  <si>
    <t>94573</t>
  </si>
  <si>
    <t>102215</t>
  </si>
  <si>
    <t>PINTURA EM MADEIRAS RÚSTICAS</t>
  </si>
  <si>
    <t>COMPOSIÇÃO</t>
  </si>
  <si>
    <t>94216</t>
  </si>
  <si>
    <t>101512</t>
  </si>
  <si>
    <t>14166</t>
  </si>
  <si>
    <t>FABRICAÇÃO, MONTAGEM E DESMONTAGEM DE FORMA PARA CINTA DE COBERTURA</t>
  </si>
  <si>
    <t>PISO</t>
  </si>
  <si>
    <t>PISO POLIDO NA PISTA E CIRCULAÇÃO</t>
  </si>
  <si>
    <t>PISO CERÂMICO SALAS INTERNAS</t>
  </si>
  <si>
    <t>89442</t>
  </si>
  <si>
    <t>89358</t>
  </si>
  <si>
    <t>89408</t>
  </si>
  <si>
    <t>20144</t>
  </si>
  <si>
    <t>98102</t>
  </si>
  <si>
    <t>102179</t>
  </si>
  <si>
    <t>91932</t>
  </si>
  <si>
    <t>93666</t>
  </si>
  <si>
    <t>91870</t>
  </si>
  <si>
    <t>95813</t>
  </si>
  <si>
    <t>95816</t>
  </si>
  <si>
    <t>91899</t>
  </si>
  <si>
    <t>101875</t>
  </si>
  <si>
    <t>LUMINÁRIA TIPO PLAFON COM LED 100W</t>
  </si>
  <si>
    <t>LUMINÁRIA TIPO REFLETOR COM LED 200 W</t>
  </si>
  <si>
    <t>98555</t>
  </si>
  <si>
    <t>2</t>
  </si>
  <si>
    <t>20 de dezembro de 2023</t>
  </si>
  <si>
    <t>LOCACAO CONVENCIONAL DE OBRA, UTILIZANDO GABARITO DE TÁBUAS CORRIDAS PONTALETADAS A CADA 2,00M -  2 UTILIZAÇÕES. AF_10/2018</t>
  </si>
  <si>
    <t>ESCAVAÇÃO MANUAL DE VALA COM PROFUNDIDADE MENOR OU IGUAL A 1,30 M. AF_02/2021</t>
  </si>
  <si>
    <t>LASTRO DE CONCRETO MAGRO, APLICADO EM PISOS, LAJES SOBRE SOLO OU RADIERS, ESPESSURA DE 3 CM. AF_07/2016</t>
  </si>
  <si>
    <t>CORTE E DOBRA DE AÇO CA-50, DIÂMETRO DE 8,0 MM. AF_06/2022</t>
  </si>
  <si>
    <t>CONCRETAGEM DE SAPATAS, FCK 30 MPA, COM USO DE BOMBA  LANÇAMENTO, ADENSAMENTO E ACABAMENTO. AF_11/2016</t>
  </si>
  <si>
    <t>MONTAGEM E DESMONTAGEM DE FÔRMA DE PILARES RETANGULARES E ESTRUTURAS SIMILARES, PÉ-DIREITO SIMPLES, EM MADEIRA SERRADA, 4 UTILIZAÇÕES. AF_09/2020</t>
  </si>
  <si>
    <t>CORTE E DOBRA DE AÇO CA-50, DIÂMETRO DE 10,0 MM. AF_06/2022</t>
  </si>
  <si>
    <t>CORTE E DOBRA DE AÇO CA-60, DIÂMETRO DE 5,0 MM. AF_06/2022</t>
  </si>
  <si>
    <t>CONCRETAGEM DE PILARES, FCK = 25 MPA,  COM USO DE BALDES - LANÇAMENTO, ADENSAMENTO E ACABAMENTO. AF_02/2022</t>
  </si>
  <si>
    <t>FABRICAÇÃO, MONTAGEM E DESMONTAGEM DE FÔRMA PARA VIGA BALDRAME, EM MADEIRA SERRADA, E=25 MM, 4 UTILIZAÇÕES. AF_06/2017</t>
  </si>
  <si>
    <t>CONCRETAGEM DE BLOCOS DE COROAMENTO E VIGAS BALDRAME, FCK 30 MPA, COM USO DE JERICA  LANÇAMENTO, ADENSAMENTO E ACABAMENTO. AF_06/2017</t>
  </si>
  <si>
    <t>CONCRETAGEM DE VIGAS E LAJES, FCK=25 MPA, PARA QUALQUER TIPO DE LAJE COM BALDES EM EDIFICAÇÃO TÉRREA - LANÇAMENTO, ADENSAMENTO E ACABAMENTO. AF_02/2022</t>
  </si>
  <si>
    <t>ALVENARIA DE VEDAÇÃO DE BLOCOS CERÂMICOS FURADOS NA VERTICAL DE 14X19X39 CM (ESPESSURA 14 CM) E ARGAMASSA DE ASSENTAMENTO COM PREPARO MANUAL. AF_12/2021</t>
  </si>
  <si>
    <t>TESOURA METÁLICA COMPOSTA POR TRÊS VÃOS (CONFORME PLANTA)</t>
  </si>
  <si>
    <t>TRAMA DE AÇO COMPOSTA POR TERÇAS PARA TELHADOS DE ATÉ 2 ÁGUAS PARA TELHA ONDULADA DE FIBROCIMENTO, METÁLICA, PLÁSTICA OU TERMOACÚSTICA, INCLUSO TRANSPORTE VERTICAL. AF_07/2019</t>
  </si>
  <si>
    <t>TELHAMENTO COM TELHA METÁLICA TERMOACÚSTICA E = 30 MM, COM ATÉ 2 ÁGUAS, INCLUSO IÇAMENTO. AF_07/2019</t>
  </si>
  <si>
    <t>IMPERMEABILIZAÇÃO DE SUPERFÍCIE COM ARGAMASSA POLIMÉRICA / MEMBRANA ACRÍLICA, 3 DEMÃOS. AF_09/2023</t>
  </si>
  <si>
    <t>REVESTIMENTO CERÂMICO PARA PAREDES INTERNAS COM PLACAS TIPO ESMALTADA EXTRA DE DIMENSÕES 25X35 CM APLICADAS NA ALTURA INTEIRA DAS PAREDES. AF_02/2023_PE</t>
  </si>
  <si>
    <t xml:space="preserve">TUBO PVC, SOLDAVEL, DE 25 MM, AGUA FRIA (NBR-5648)                                                                                                                                                                                                                                                                                                                                                                                                                                                        </t>
  </si>
  <si>
    <t>TÊ DE REDUÇÃO, PVC, SOLDÁVEL, DN 25MM X 20MM, INSTALADO EM RAMAL DE DISTRIBUIÇÃO DE ÁGUA - FORNECIMENTO E INSTALAÇÃO. AF_06/2022</t>
  </si>
  <si>
    <t>TE, PVC, SOLDÁVEL, DN 25MM, INSTALADO EM PRUMADA DE ÁGUA - FORNECIMENTO E INSTALAÇÃO. AF_06/2022</t>
  </si>
  <si>
    <t>JOELHO 90 GRAUS, PVC, SOLDÁVEL, DN 20MM, INSTALADO EM RAMAL OU SUB-RAMAL DE ÁGUA - FORNECIMENTO E INSTALAÇÃO. AF_06/2022</t>
  </si>
  <si>
    <t>JOELHO 90 GRAUS, PVC, SOLDÁVEL, DN 25MM, INSTALADO EM RAMAL DE DISTRIBUIÇÃO DE ÁGUA - FORNECIMENTO E INSTALAÇÃO. AF_06/2022</t>
  </si>
  <si>
    <t xml:space="preserve">LUVA PVC SOLDAVEL, 25 MM, PARA AGUA FRIA PREDIAL                                                                                                                                                                                                                                                                                                                                                                                                                                                          </t>
  </si>
  <si>
    <t xml:space="preserve">LUVA PVC SOLDAVEL, 32 MM, PARA AGUA FRIA PREDIAL                                                                                                                                                                                                                                                                                                                                                                                                                                                          </t>
  </si>
  <si>
    <t xml:space="preserve">LUVA PVC SOLDAVEL, 40 MM, PARA AGUA FRIA PREDIAL                                                                                                                                                                                                                                                                                                                                                                                                                                                          </t>
  </si>
  <si>
    <t>TUBO PVC, SERIE NORMAL, ESGOTO PREDIAL, DN 100 MM, FORNECIDO E INSTALADO EM SUBCOLETOR AÉREO DE ESGOTO SANITÁRIO. AF_08/2022</t>
  </si>
  <si>
    <t>TUBO PVC, SERIE NORMAL, ESGOTO PREDIAL, DN 50 MM, FORNECIDO E INSTALADO EM PRUMADA DE ESGOTO SANITÁRIO OU VENTILAÇÃO. AF_08/2022</t>
  </si>
  <si>
    <t xml:space="preserve">JUNCAO SIMPLES, PVC SERIE R, DN 100 X 100 MM, PARA ESGOTO PREDIAL                                                                                                                                                                                                                                                                                                                                                                                                                                         </t>
  </si>
  <si>
    <t xml:space="preserve">JOELHO, PVC SERIE R, 90 GRAUS, DN 100 MM, PARA ESGOTO PREDIAL                                                                                                                                                                                                                                                                                                                                                                                                                                             </t>
  </si>
  <si>
    <t xml:space="preserve">JOELHO, PVC SERIE R, 45 GRAUS, DN 50 MM, PARA ESGOTO PREDIAL                                                                                                                                                                                                                                                                                                                                                                                                                                              </t>
  </si>
  <si>
    <t xml:space="preserve">CURVA PVC LONGA 90 GRAUS, DN 100 MM, PARA ESGOTO PREDIAL                                                                                                                                                                                                                                                                                                                                                                                                                                                  </t>
  </si>
  <si>
    <t xml:space="preserve">CURVA PVC LONGA 90 GRAUS, DN 50 MM, PARA ESGOTO PREDIAL                                                                                                                                                                                                                                                                                                                                                                                                                                                   </t>
  </si>
  <si>
    <t>LUVA DE CORRER, PVC, SERIE NORMAL, ESGOTO PREDIAL, DN 100 MM, JUNTA ELÁSTICA, FORNECIDO E INSTALADO EM SUBCOLETOR AÉREO DE ESGOTO SANITÁRIO. AF_08/2022</t>
  </si>
  <si>
    <t>LUVA DE CORRER, PVC, SERIE NORMAL, ESGOTO PREDIAL, DN 50 MM, JUNTA ELÁSTICA, FORNECIDO E INSTALADO EM PRUMADA DE ESGOTO SANITÁRIO OU VENTILAÇÃO. AF_08/2022</t>
  </si>
  <si>
    <t>TE, PVC, SERIE NORMAL, ESGOTO PREDIAL, DN 100 X 100 MM, JUNTA ELÁSTICA, FORNECIDO E INSTALADO EM PRUMADA DE ESGOTO SANITÁRIO OU VENTILAÇÃO. AF_08/2022</t>
  </si>
  <si>
    <t>TE, PVC, SÉRIE NORMAL, ESGOTO PREDIAL, DN 100 X 50 MM, JUNTA ELÁSTICA, FORNECIDO E INSTALADO EM PRUMADA DE ESGOTO SANITÁRIO OU VENTILAÇÃO. AF_08/2022</t>
  </si>
  <si>
    <t>CAIXA ENTERRADA HIDRÁULICA RETANGULAR EM ALVENARIA COM TIJOLOS CERÂMICOS MACIÇOS, DIMENSÕES INTERNAS: 0,4X0,4X0,4 M PARA REDE DE ESGOTO. AF_12/2020</t>
  </si>
  <si>
    <t>CAIXA DE GORDURA SIMPLES, CIRCULAR, EM CONCRETO PRÉ-MOLDADO, DIÂMETRO INTERNO = 0,4 M, ALTURA INTERNA = 0,4 M. AF_12/2020</t>
  </si>
  <si>
    <t xml:space="preserve">FILTRO ANAEROBIO, EM POLIETILENO DE ALTA DENSIDADE (PEAD), CAPACIDADE *2800* LITROS (NBR 13969)                                                                                                                                                                                                                                                                                                                                                                                                           </t>
  </si>
  <si>
    <t xml:space="preserve">FOSSA SEPTICA, SEM FILTRO, EM POLIETILENO DE ALTA DENSIDADE (PEAD), PARA 8 A 14 CONTRIBUINTES, CILINDRICA, COM TAMPA, CAPACIDADE APROXIMADA DE *3000* LITROS (NBR 7229)                                                                                                                                                                                                                                                                                                                                   </t>
  </si>
  <si>
    <t xml:space="preserve">BACIA SANITARIA (VASO) COM CAIXA ACOPLADA, SIFAO OCULTO / CARENADO, DE LOUCA BRANCA (SEM ASSENTO ) - PADRAO ALTO                                                                                                                                                                                                                                                                                                                                                                                          </t>
  </si>
  <si>
    <t>VASO SANITARIO SIFONADO CONVENCIONAL PARA PCD SEM FURO FRONTAL COM  LOUÇA BRANCA SEM ASSENTO -  FORNECIMENTO E INSTALAÇÃO. AF_01/2020</t>
  </si>
  <si>
    <t>MICTÓRIO SIFONADO LOUÇA BRANCA PARA ENTRADA DE ÁGUA EMBUTIDA  PADRÃO ALTO  FORNECIMENTO E INSTALAÇÃO. AF_01/2020</t>
  </si>
  <si>
    <t>BANCADA GRANITO CINZA,  50 X 60 CM, INCL. CUBA DE EMBUTIR OVAL LOUÇA BRANCA 35 X 50 CM, VÁLVULA METAL CROMADO, SIFÃO FLEXÍVEL PVC, ENGATE 30 CM FLEXÍVEL PLÁSTICO E TORNEIRA CROMADA DE MESA, PADRÃO POPULAR - FORNEC. E INSTALAÇÃO. AF_01/2020</t>
  </si>
  <si>
    <t>TORNEIRA CROMADA DE MESA, 1/2 OU 3/4, PARA LAVATÓRIO, PADRÃO MÉDIO - FORNECIMENTO E INSTALAÇÃO. AF_01/2020</t>
  </si>
  <si>
    <t xml:space="preserve">REGISTRO GAVETA COM ACABAMENTO E CANOPLA CROMADOS, SIMPLES, BITOLA 3/4 " (REF 1509)                                                                                                                                                                                                                                                                                                                                                                                                                       </t>
  </si>
  <si>
    <t xml:space="preserve">REGISTRO PRESSAO COM ACABAMENTO E CANOPLA CROMADA, SIMPLES, BITOLA 3/4 " (REF 1416)                                                                                                                                                                                                                                                                                                                                                                                                                       </t>
  </si>
  <si>
    <t xml:space="preserve">ASSENTO SANITARIO DE PLASTICO, TIPO CONVENCIONAL                                                                                                                                                                                                                                                                                                                                                                                                                                                          </t>
  </si>
  <si>
    <t xml:space="preserve">ESPELHO CRISTAL E = 4 MM                                                                                                                                                                                                                                                                                                                                                                                                                                                                                  </t>
  </si>
  <si>
    <t>KIT DE ACESSORIOS PARA BANHEIRO EM METAL CROMADO, 5 PECAS, INCLUSO FIXAÇÃO. AF_01/2020</t>
  </si>
  <si>
    <t>LASTRO COM MATERIAL GRANULAR (PEDRA BRITADA N.2), APLICADO EM PISOS OU LAJES SOBRE SOLO, ESPESSURA DE *10 CM*. AF_08/2017</t>
  </si>
  <si>
    <t>CONCRETAGEM DE RADIER, PISO DE CONCRETO OU LAJE SOBRE SOLO, FCK 30 MPA - LANÇAMENTO, ADENSAMENTO E ACABAMENTO. AF_09/2021</t>
  </si>
  <si>
    <t xml:space="preserve">TELA DE ACO SOLDADA NERVURADA, CA-60, Q-61, (0,97 KG/M2), DIAMETRO DO FIO = 3,4 MM, LARGURA = 2,45 M, ESPACAMENTO DA MALHA = 15 X 15 CM                                                                                                                                                                                                                                                                                                                                                                   </t>
  </si>
  <si>
    <t>PREPARO DE CONTRAPISO COM POLITRIZ. AF_09/2020</t>
  </si>
  <si>
    <t>REVESTIMENTO CERÂMICO PARA PISO COM PLACAS TIPO ESMALTADA EXTRA DE DIMENSÕES 45X45 CM APLICADA EM AMBIENTES DE ÁREA MAIOR QUE 10 M2. AF_02/2023_PE</t>
  </si>
  <si>
    <t xml:space="preserve">RODAFORRO EM PVC, PARA FORRO DE PVC, COMPRIMENTO 6 M                                                                                                                                                                                                                                                                                                                                                                                                                                                      </t>
  </si>
  <si>
    <t>TAPA VISTA DE MICTÓRIO EM GRANITO CINZA POLIDO, ESP = 3CM, ASSENTADO COM ARGAMASSA COLANTE AC III-E . AF_01/2021</t>
  </si>
  <si>
    <t>ENTRADA DE ENERGIA ELÉTRICA, AÉREA, TRIFÁSICA, COM CAIXA DE EMBUTIR, CABO DE 35 MM2 E DISJUNTOR DIN 50A (NÃO INCLUSO O POSTE DE CONCRETO). AF_07/2020_PS</t>
  </si>
  <si>
    <t xml:space="preserve">POSTE CONICO CONTINUO EM ACO GALVANIZADO, RETO, ENGASTADO,  H = 7 M, DIAMETRO INFERIOR = *125* MM                                                                                                                                                                                                                                                                                                                                                                                                         </t>
  </si>
  <si>
    <t>ELETRODUTO FLEXÍVEL CORRUGADO, PVC, DN 20 MM (1/2"), PARA CIRCUITOS TERMINAIS, INSTALADO EM PAREDE - FORNECIMENTO E INSTALAÇÃO. AF_03/2023</t>
  </si>
  <si>
    <t>CABO DE COBRE FLEXÍVEL ISOLADO, 2,5 MM², ANTI-CHAMA 450/750 V, PARA CIRCUITOS TERMINAIS - FORNECIMENTO E INSTALAÇÃO. AF_03/2023</t>
  </si>
  <si>
    <t>CABO DE COBRE FLEXÍVEL ISOLADO, 4 MM², ANTI-CHAMA 450/750 V, PARA CIRCUITOS TERMINAIS - FORNECIMENTO E INSTALAÇÃO. AF_03/2023</t>
  </si>
  <si>
    <t>CABO DE COBRE FLEXÍVEL ISOLADO, 6 MM², ANTI-CHAMA 450/750 V, PARA CIRCUITOS TERMINAIS - FORNECIMENTO E INSTALAÇÃO. AF_03/2023</t>
  </si>
  <si>
    <t>CABO DE COBRE FLEXÍVEL ISOLADO, 10 MM², ANTI-CHAMA 450/750 V, PARA CIRCUITOS TERMINAIS - FORNECIMENTO E INSTALAÇÃO. AF_03/2023</t>
  </si>
  <si>
    <t>DISJUNTOR BIPOLAR TIPO DIN, CORRENTE NOMINAL DE 50A - FORNECIMENTO E INSTALAÇÃO. AF_10/2020</t>
  </si>
  <si>
    <t>DISJUNTOR BIPOLAR TIPO DIN, CORRENTE NOMINAL DE 32A - FORNECIMENTO E INSTALAÇÃO. AF_10/2020</t>
  </si>
  <si>
    <t>DISJUNTOR BIPOLAR TIPO DIN, CORRENTE NOMINAL DE 20A - FORNECIMENTO E INSTALAÇÃO. AF_10/2020</t>
  </si>
  <si>
    <t>DISJUNTOR BIPOLAR TIPO DIN, CORRENTE NOMINAL DE 16A - FORNECIMENTO E INSTALAÇÃO. AF_10/2020</t>
  </si>
  <si>
    <t>INTERRUPTOR SIMPLES (1 MÓDULO), 10A/250V, INCLUINDO SUPORTE E PLACA - FORNECIMENTO E INSTALAÇÃO. AF_03/2023</t>
  </si>
  <si>
    <t>INTERRUPTOR SIMPLES (2 MÓDULOS), 10A/250V, INCLUINDO SUPORTE E PLACA - FORNECIMENTO E INSTALAÇÃO. AF_03/2023</t>
  </si>
  <si>
    <t>INTERRUPTOR SIMPLES (4 MÓDULOS), 10A/250V, INCLUINDO SUPORTE E PLACA - FORNECIMENTO E INSTALAÇÃO. AF_03/2023</t>
  </si>
  <si>
    <t>TOMADA ALTA DE EMBUTIR (1 MÓDULO), 2P+T 10 A, INCLUINDO SUPORTE E PLACA - FORNECIMENTO E INSTALAÇÃO. AF_03/2023</t>
  </si>
  <si>
    <t>TOMADA MÉDIA DE EMBUTIR (1 MÓDULO), 2P+T 10 A, INCLUINDO SUPORTE E PLACA - FORNECIMENTO E INSTALAÇÃO. AF_03/2023</t>
  </si>
  <si>
    <t>TOMADA BAIXA DE EMBUTIR (1 MÓDULO), 2P+T 10 A, INCLUINDO SUPORTE E PLACA - FORNECIMENTO E INSTALAÇÃO. AF_03/2023</t>
  </si>
  <si>
    <t>ELETRODUTO RÍGIDO ROSCÁVEL, PVC, DN 20 MM (1/2"), PARA CIRCUITOS TERMINAIS, INSTALADO EM PAREDE - FORNECIMENTO E INSTALAÇÃO. AF_03/2023</t>
  </si>
  <si>
    <t>CURVA 90 GRAUS PARA ELETRODUTO, PVC, ROSCÁVEL, DN 20 MM (1/2"), PARA CIRCUITOS TERMINAIS, INSTALADA EM LAJE - FORNECIMENTO E INSTALAÇÃO. AF_03/2023</t>
  </si>
  <si>
    <t>CONDULETE DE PVC, TIPO TB, PARA ELETRODUTO DE PVC SOLDÁVEL DN 20 MM (1/2''), APARENTE - FORNECIMENTO E INSTALAÇÃO. AF_10/2022</t>
  </si>
  <si>
    <t>CONDULETE DE PVC, TIPO X, PARA ELETRODUTO DE PVC SOLDÁVEL DN 20 MM (1/2''), APARENTE - FORNECIMENTO E INSTALAÇÃO. AF_10/2022</t>
  </si>
  <si>
    <t>QUADRO DE DISTRIBUIÇÃO DE ENERGIA EM CHAPA DE AÇO GALVANIZADO, DE EMBUTIR, COM BARRAMENTO TRIFÁSICO, PARA 12 DISJUNTORES DIN 100A - FORNECIMENTO E INSTALAÇÃO. AF_10/2020</t>
  </si>
  <si>
    <t>PINTURA VERNIZ (INCOLOR) POLIURETÂNICO (RESINA ALQUÍDICA MODIFICADA) EM MADEIRA, 2 DEMÃOS. AF_01/2021</t>
  </si>
  <si>
    <t xml:space="preserve">PORTA DE ABRIR EM ALUMINIO COM LAMBRI HORIZONTAL/LAMINADA, ACABAMENTO ANODIZADO NATURAL, SEM GUARNICAO/ALIZAR/VISTA                                                                                                                                                                                                                                                                                                                                                                                       </t>
  </si>
  <si>
    <t>JANELA DE ALUMÍNIO DE CORRER COM 4 FOLHAS PARA VIDROS, COM VIDROS, BATENTE, ACABAMENTO COM ACETATO OU BRILHANTE E FERRAGENS. EXCLUSIVE ALIZAR E CONTRAMARCO. FORNECIMENTO E INSTALAÇÃO. AF_12/2019</t>
  </si>
  <si>
    <t>INSTALAÇÃO DE VIDRO TEMPERADO, E = 6 MM, ENCAIXADO EM PERFIL U. AF_01/2021_PS</t>
  </si>
  <si>
    <t>M</t>
  </si>
  <si>
    <t>UM</t>
  </si>
  <si>
    <t xml:space="preserve">M     </t>
  </si>
  <si>
    <t>UN</t>
  </si>
  <si>
    <t xml:space="preserve">UN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</si>
</sst>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0">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sz val="8"/>
      <color indexed="8"/>
      <name val="Calibri"/>
      <family val="2"/>
    </font>
    <font>
      <b/>
      <sz val="8"/>
      <name val="Calibri"/>
      <family val="2"/>
    </font>
    <font>
      <b/>
      <sz val="9"/>
      <color rgb="FF000000"/>
      <name val="Arial"/>
      <family val="2"/>
    </font>
    <font>
      <b/>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right style="thin"/>
      <top style="thin"/>
      <bottom/>
    </border>
    <border>
      <left style="medium"/>
      <right/>
      <top/>
      <bottom/>
    </border>
    <border>
      <left style="hair"/>
      <right style="hair"/>
      <top style="thin"/>
      <bottom/>
    </border>
    <border>
      <left/>
      <right style="thin"/>
      <top style="hair"/>
      <bottom style="hair"/>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402">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64" fontId="0" fillId="22" borderId="24" xfId="106" applyNumberFormat="1" applyFont="1" applyFill="1" applyBorder="1" applyAlignment="1" applyProtection="1">
      <alignment vertical="center" shrinkToFit="1"/>
      <protection/>
    </xf>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0" fontId="21" fillId="0" borderId="0" xfId="91" applyFont="1" applyBorder="1" applyAlignment="1" applyProtection="1">
      <alignment horizontal="left" vertical="top"/>
      <protection/>
    </xf>
    <xf numFmtId="4" fontId="24" fillId="0" borderId="14" xfId="90" applyNumberFormat="1" applyFont="1" applyFill="1" applyBorder="1" applyAlignment="1" applyProtection="1">
      <alignment horizontal="center" vertical="center"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0" fontId="0" fillId="0" borderId="13" xfId="0" applyFont="1" applyFill="1" applyBorder="1" applyAlignment="1" applyProtection="1">
      <alignment horizontal="left" vertical="top" wrapText="1"/>
      <protection/>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49" fontId="0" fillId="22" borderId="18" xfId="0" applyNumberFormat="1" applyFon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20" fillId="20" borderId="17" xfId="0" applyFont="1" applyFill="1" applyBorder="1" applyAlignment="1" applyProtection="1">
      <alignment horizontal="center" vertical="center" wrapText="1"/>
      <protection/>
    </xf>
    <xf numFmtId="0" fontId="20" fillId="20" borderId="39"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40"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49" fontId="0" fillId="22" borderId="0" xfId="0" applyNumberFormat="1" applyFont="1" applyFill="1" applyBorder="1" applyAlignment="1" applyProtection="1">
      <alignment horizontal="left"/>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49" fontId="0" fillId="22" borderId="38" xfId="0" applyNumberFormat="1" applyFont="1" applyFill="1" applyBorder="1" applyAlignment="1" applyProtection="1">
      <alignment horizontal="left" vertical="top" wrapText="1"/>
      <protection locked="0"/>
    </xf>
    <xf numFmtId="49" fontId="0" fillId="0" borderId="0" xfId="90" applyNumberFormat="1" applyFont="1" applyFill="1" applyBorder="1" applyAlignment="1" applyProtection="1">
      <alignment horizontal="left"/>
      <protection locked="0"/>
    </xf>
    <xf numFmtId="0" fontId="24" fillId="0" borderId="0" xfId="90" applyFont="1" applyBorder="1" applyAlignment="1" applyProtection="1">
      <alignment horizontal="left" vertical="center"/>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0" fontId="24" fillId="0" borderId="14" xfId="90" applyFont="1" applyBorder="1" applyAlignment="1" applyProtection="1">
      <alignment horizontal="center" vertical="center"/>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1" fillId="0" borderId="14" xfId="90" applyFont="1" applyFill="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wrapText="1"/>
      <protection/>
    </xf>
    <xf numFmtId="0" fontId="0" fillId="0" borderId="14" xfId="90" applyFont="1" applyBorder="1" applyAlignment="1" applyProtection="1">
      <alignment horizontal="left"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68" fontId="0" fillId="0" borderId="13" xfId="90" applyNumberFormat="1" applyFont="1" applyBorder="1" applyAlignment="1" applyProtection="1">
      <alignment horizontal="left"/>
      <protection/>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0" fillId="0" borderId="0" xfId="90" applyFont="1" applyBorder="1" applyAlignment="1" applyProtection="1">
      <alignment horizontal="center" vertical="center"/>
      <protection/>
    </xf>
    <xf numFmtId="0" fontId="21" fillId="0" borderId="0" xfId="90" applyFont="1" applyBorder="1" applyAlignment="1" applyProtection="1">
      <alignment horizontal="left" vertical="center"/>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170"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39"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0" fontId="28" fillId="0" borderId="0" xfId="0" applyFont="1" applyAlignment="1" applyProtection="1">
      <alignment horizontal="center" vertical="top" wrapText="1"/>
      <protection/>
    </xf>
    <xf numFmtId="0" fontId="1"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49" fontId="47" fillId="22" borderId="41" xfId="0" applyNumberFormat="1" applyFont="1" applyFill="1" applyBorder="1" applyAlignment="1" applyProtection="1">
      <alignment horizontal="center" wrapText="1"/>
      <protection/>
    </xf>
    <xf numFmtId="0" fontId="46" fillId="22" borderId="42" xfId="0"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4"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Incorreto" xfId="83"/>
    <cellStyle name="Input" xfId="84"/>
    <cellStyle name="Linked Cell" xfId="85"/>
    <cellStyle name="Moeda 2" xfId="86"/>
    <cellStyle name="Moeda_Composicao BDI v2.1" xfId="87"/>
    <cellStyle name="Neutra"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720">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ill>
        <patternFill patternType="none"/>
      </fill>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patternType="none"/>
      </fill>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ill>
        <patternFill patternType="none"/>
      </fill>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ill>
        <patternFill patternType="none"/>
      </fill>
      <border/>
    </dxf>
    <dxf>
      <font>
        <b val="0"/>
        <i val="0"/>
        <name val="Calibri Light"/>
        <color theme="0" tint="-0.149959996342659"/>
      </font>
      <fill>
        <patternFill>
          <bgColor theme="0" tint="-0.149959996342659"/>
        </patternFill>
      </fill>
      <border>
        <left/>
        <right/>
        <top style="thin"/>
        <bottom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ill>
        <patternFill patternType="none"/>
      </fill>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ont>
        <b val="0"/>
        <i val="0"/>
        <name val="Calibri Light"/>
        <color theme="0" tint="-0.149959996342659"/>
      </font>
      <fill>
        <patternFill>
          <bgColor theme="0" tint="-0.149959996342659"/>
        </patternFill>
      </fill>
      <border>
        <left/>
        <right/>
        <top style="thin"/>
        <bottom style="thin"/>
      </border>
    </dxf>
    <dxf>
      <fill>
        <patternFill patternType="none"/>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1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10.emf" /><Relationship Id="rId6" Type="http://schemas.openxmlformats.org/officeDocument/2006/relationships/image" Target="../media/image2.emf" /><Relationship Id="rId7"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3.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2.emf" /><Relationship Id="rId11" Type="http://schemas.openxmlformats.org/officeDocument/2006/relationships/image" Target="../media/image2.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2.emf" /><Relationship Id="rId15" Type="http://schemas.openxmlformats.org/officeDocument/2006/relationships/image" Target="../media/image11.emf" /><Relationship Id="rId16" Type="http://schemas.openxmlformats.org/officeDocument/2006/relationships/image" Target="../media/image2.emf" /><Relationship Id="rId17" Type="http://schemas.openxmlformats.org/officeDocument/2006/relationships/image" Target="../media/image10.emf" /><Relationship Id="rId18" Type="http://schemas.openxmlformats.org/officeDocument/2006/relationships/image" Target="../media/image11.emf" /><Relationship Id="rId19" Type="http://schemas.openxmlformats.org/officeDocument/2006/relationships/image" Target="../media/image2.emf" /><Relationship Id="rId20" Type="http://schemas.openxmlformats.org/officeDocument/2006/relationships/image" Target="../media/image10.emf" /><Relationship Id="rId21" Type="http://schemas.openxmlformats.org/officeDocument/2006/relationships/image" Target="../media/image11.emf" /><Relationship Id="rId22" Type="http://schemas.openxmlformats.org/officeDocument/2006/relationships/image" Target="../media/image2.emf" /><Relationship Id="rId23" Type="http://schemas.openxmlformats.org/officeDocument/2006/relationships/image" Target="../media/image10.emf" /><Relationship Id="rId24" Type="http://schemas.openxmlformats.org/officeDocument/2006/relationships/image" Target="../media/image11.emf" /><Relationship Id="rId25"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3.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2.emf" /><Relationship Id="rId11" Type="http://schemas.openxmlformats.org/officeDocument/2006/relationships/image" Target="../media/image2.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2.emf" /><Relationship Id="rId15" Type="http://schemas.openxmlformats.org/officeDocument/2006/relationships/image" Target="../media/image11.emf"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10.emf" /><Relationship Id="rId19" Type="http://schemas.openxmlformats.org/officeDocument/2006/relationships/image" Target="../media/image11.emf" /><Relationship Id="rId20" Type="http://schemas.openxmlformats.org/officeDocument/2006/relationships/image" Target="../media/image12.emf" /><Relationship Id="rId21" Type="http://schemas.openxmlformats.org/officeDocument/2006/relationships/image" Target="../media/image11.emf" /><Relationship Id="rId22" Type="http://schemas.openxmlformats.org/officeDocument/2006/relationships/image" Target="../media/image12.emf" /><Relationship Id="rId2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790700" cy="381000"/>
    <xdr:sp macro="" textlink="">
      <xdr:nvSpPr>
        <xdr:cNvPr id="156124" name="Object 476" hidden="1"/>
        <xdr:cNvSpPr/>
      </xdr:nvSpPr>
      <xdr:spPr>
        <a:xfrm>
          <a:off x="28575" y="19050"/>
          <a:ext cx="1790700" cy="381000"/>
        </a:xfrm>
        <a:prstGeom prst="rect">
          <a:avLst/>
        </a:prstGeom>
        <a:ln>
          <a:noFill/>
        </a:ln>
      </xdr:spPr>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790700" cy="381000"/>
    <xdr:sp macro="" textlink="">
      <xdr:nvSpPr>
        <xdr:cNvPr id="3" name="Object 476" hidden="1"/>
        <xdr:cNvSpPr/>
      </xdr:nvSpPr>
      <xdr:spPr>
        <a:xfrm>
          <a:off x="28575" y="19050"/>
          <a:ext cx="1790700" cy="381000"/>
        </a:xfrm>
        <a:prstGeom prst="rect">
          <a:avLst/>
        </a:prstGeom>
        <a:ln>
          <a:noFill/>
        </a:ln>
      </xdr:spPr>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5" name="Picture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macro="" textlink="">
      <xdr:nvSpPr>
        <xdr:cNvPr id="185899" name="Object 5675" hidden="1"/>
        <xdr:cNvSpPr/>
      </xdr:nvSpPr>
      <xdr:spPr>
        <a:xfrm>
          <a:off x="638175" y="19050"/>
          <a:ext cx="1800225" cy="381000"/>
        </a:xfrm>
        <a:prstGeom prst="rect">
          <a:avLst/>
        </a:prstGeom>
        <a:ln>
          <a:noFill/>
        </a:ln>
      </xdr:spPr>
    </xdr:sp>
    <xdr:clientData/>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38175" y="19050"/>
          <a:ext cx="180022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81000"/>
    <xdr:sp macro="" textlink="">
      <xdr:nvSpPr>
        <xdr:cNvPr id="193696" name="Object 13472" hidden="1"/>
        <xdr:cNvSpPr/>
      </xdr:nvSpPr>
      <xdr:spPr>
        <a:xfrm>
          <a:off x="876300" y="28575"/>
          <a:ext cx="1790700" cy="381000"/>
        </a:xfrm>
        <a:prstGeom prst="rect">
          <a:avLst/>
        </a:prstGeom>
        <a:ln>
          <a:noFill/>
        </a:ln>
      </xdr:spPr>
    </xdr:sp>
    <xdr:clientData/>
  </xdr:one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twoCellAnchor editAs="oneCell">
    <xdr:from>
      <xdr:col>1</xdr:col>
      <xdr:colOff>28575</xdr:colOff>
      <xdr:row>0</xdr:row>
      <xdr:rowOff>28575</xdr:rowOff>
    </xdr:from>
    <xdr:to>
      <xdr:col>2</xdr:col>
      <xdr:colOff>1104900</xdr:colOff>
      <xdr:row>1</xdr:row>
      <xdr:rowOff>190500</xdr:rowOff>
    </xdr:to>
    <xdr:pic>
      <xdr:nvPicPr>
        <xdr:cNvPr id="2" name="Picture 1347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876300" y="28575"/>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macro="" textlink="">
      <xdr:nvSpPr>
        <xdr:cNvPr id="193474" name="Object 125890" hidden="1"/>
        <xdr:cNvSpPr/>
      </xdr:nvSpPr>
      <xdr:spPr>
        <a:xfrm>
          <a:off x="57150" y="38100"/>
          <a:ext cx="1790700" cy="381000"/>
        </a:xfrm>
        <a:prstGeom prst="rect">
          <a:avLst/>
        </a:prstGeom>
        <a:ln>
          <a:noFill/>
        </a:ln>
      </xdr:spPr>
    </xdr:sp>
    <xdr:clientData/>
  </xdr:one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2" name="Picture 12589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FFC000"/>
    <pageSetUpPr fitToPage="1"/>
  </sheetPr>
  <dimension ref="A1:Y240"/>
  <sheetViews>
    <sheetView showGridLines="0" zoomScaleSheetLayoutView="100" workbookViewId="0" topLeftCell="A40">
      <selection activeCell="B58" sqref="B58"/>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87" t="s">
        <v>2</v>
      </c>
      <c r="C1" s="287"/>
      <c r="D1" s="287"/>
      <c r="E1" s="287"/>
      <c r="F1" s="287"/>
      <c r="G1" s="287"/>
      <c r="H1" s="287"/>
      <c r="I1" s="287"/>
      <c r="J1" s="287"/>
      <c r="K1" s="287"/>
      <c r="L1" s="287"/>
      <c r="M1" s="287"/>
      <c r="N1" s="287"/>
      <c r="O1" s="287"/>
      <c r="P1" s="287"/>
      <c r="Q1" s="287"/>
      <c r="R1" s="287"/>
      <c r="S1" s="287"/>
      <c r="T1" s="287"/>
      <c r="U1" s="287"/>
      <c r="V1" s="287"/>
      <c r="W1" s="287"/>
      <c r="X1" s="288"/>
    </row>
    <row r="2" spans="1:24" ht="13.5" customHeight="1">
      <c r="A2" s="105" t="s">
        <v>228</v>
      </c>
      <c r="B2" s="289"/>
      <c r="C2" s="289"/>
      <c r="D2" s="289"/>
      <c r="E2" s="289"/>
      <c r="F2" s="289"/>
      <c r="G2" s="289"/>
      <c r="H2" s="289"/>
      <c r="I2" s="289"/>
      <c r="J2" s="289"/>
      <c r="K2" s="289"/>
      <c r="L2" s="289"/>
      <c r="M2" s="289"/>
      <c r="N2" s="289"/>
      <c r="O2" s="289"/>
      <c r="P2" s="289"/>
      <c r="Q2" s="289"/>
      <c r="R2" s="289"/>
      <c r="S2" s="289"/>
      <c r="T2" s="289"/>
      <c r="U2" s="289"/>
      <c r="V2" s="289"/>
      <c r="W2" s="289"/>
      <c r="X2" s="290"/>
    </row>
    <row r="3" spans="1:8" ht="13.5" customHeight="1">
      <c r="A3" s="1"/>
      <c r="B3" s="1"/>
      <c r="F3" s="1"/>
      <c r="G3" s="1"/>
      <c r="H3" s="1"/>
    </row>
    <row r="4" spans="1:24" s="21" customFormat="1" ht="12.75" customHeight="1">
      <c r="A4" s="303" t="s">
        <v>168</v>
      </c>
      <c r="B4" s="303"/>
      <c r="C4" s="303"/>
      <c r="D4" s="303"/>
      <c r="E4" s="303"/>
      <c r="F4" s="303"/>
      <c r="G4" s="303"/>
      <c r="H4" s="303"/>
      <c r="I4" s="303"/>
      <c r="J4" s="303"/>
      <c r="K4" s="303"/>
      <c r="L4" s="303"/>
      <c r="M4" s="303"/>
      <c r="N4" s="303"/>
      <c r="O4" s="303"/>
      <c r="P4" s="303"/>
      <c r="Q4" s="303"/>
      <c r="R4" s="303"/>
      <c r="S4" s="303"/>
      <c r="T4" s="303"/>
      <c r="U4" s="303"/>
      <c r="V4" s="303"/>
      <c r="W4" s="303"/>
      <c r="X4" s="303"/>
    </row>
    <row r="5" spans="1:8" s="21" customFormat="1" ht="12.75">
      <c r="A5" s="22"/>
      <c r="B5" s="22"/>
      <c r="F5" s="23"/>
      <c r="G5" s="23"/>
      <c r="H5" s="23"/>
    </row>
    <row r="6" spans="1:24" s="22" customFormat="1" ht="24.95" customHeight="1">
      <c r="A6" s="304" t="s">
        <v>179</v>
      </c>
      <c r="B6" s="305"/>
      <c r="C6" s="305"/>
      <c r="D6" s="305"/>
      <c r="E6" s="305"/>
      <c r="F6" s="305"/>
      <c r="G6" s="305"/>
      <c r="H6" s="305"/>
      <c r="I6" s="305"/>
      <c r="J6" s="305"/>
      <c r="K6" s="305"/>
      <c r="L6" s="305"/>
      <c r="M6" s="305"/>
      <c r="N6" s="305"/>
      <c r="O6" s="305"/>
      <c r="P6" s="305"/>
      <c r="Q6" s="305"/>
      <c r="R6" s="305"/>
      <c r="S6" s="305"/>
      <c r="T6" s="305"/>
      <c r="U6" s="305"/>
      <c r="V6" s="305"/>
      <c r="W6" s="305"/>
      <c r="X6" s="305"/>
    </row>
    <row r="7" spans="1:8" s="21" customFormat="1" ht="12.75" customHeight="1">
      <c r="A7" s="22"/>
      <c r="B7" s="22"/>
      <c r="F7" s="23"/>
      <c r="G7" s="23"/>
      <c r="H7" s="23"/>
    </row>
    <row r="8" spans="1:25" s="21" customFormat="1" ht="12.75" customHeight="1">
      <c r="A8" s="306" t="s">
        <v>23</v>
      </c>
      <c r="B8" s="306"/>
      <c r="C8" s="306"/>
      <c r="D8" s="306"/>
      <c r="E8" s="306"/>
      <c r="F8" s="306"/>
      <c r="G8" s="306"/>
      <c r="H8" s="306"/>
      <c r="I8" s="306"/>
      <c r="J8" s="306"/>
      <c r="K8" s="306"/>
      <c r="L8" s="306"/>
      <c r="M8" s="306"/>
      <c r="N8" s="306"/>
      <c r="O8" s="306"/>
      <c r="P8" s="306"/>
      <c r="Q8" s="306"/>
      <c r="R8" s="306"/>
      <c r="S8" s="306"/>
      <c r="T8" s="306"/>
      <c r="U8" s="306"/>
      <c r="V8" s="306"/>
      <c r="W8" s="306"/>
      <c r="X8" s="306"/>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08" t="s">
        <v>169</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95" customHeight="1">
      <c r="A12" s="308" t="s">
        <v>1</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row>
    <row r="13" spans="1:8" s="21" customFormat="1" ht="12.75">
      <c r="A13" s="22"/>
      <c r="B13" s="22"/>
      <c r="F13" s="23"/>
      <c r="G13" s="23"/>
      <c r="H13" s="23"/>
    </row>
    <row r="14" spans="1:24" s="21" customFormat="1" ht="12.75">
      <c r="A14" s="307" t="s">
        <v>24</v>
      </c>
      <c r="B14" s="306"/>
      <c r="C14" s="306"/>
      <c r="D14" s="306"/>
      <c r="E14" s="306"/>
      <c r="F14" s="306"/>
      <c r="G14" s="306"/>
      <c r="H14" s="306"/>
      <c r="I14" s="306"/>
      <c r="J14" s="306"/>
      <c r="K14" s="306"/>
      <c r="L14" s="306"/>
      <c r="M14" s="306"/>
      <c r="N14" s="306"/>
      <c r="O14" s="306"/>
      <c r="P14" s="306"/>
      <c r="Q14" s="306"/>
      <c r="R14" s="306"/>
      <c r="S14" s="306"/>
      <c r="T14" s="306"/>
      <c r="U14" s="306"/>
      <c r="V14" s="306"/>
      <c r="W14" s="306"/>
      <c r="X14" s="306"/>
    </row>
    <row r="15" spans="1:8" s="21" customFormat="1" ht="12.75">
      <c r="A15" s="22"/>
      <c r="B15" s="22"/>
      <c r="F15" s="23"/>
      <c r="G15" s="23"/>
      <c r="H15" s="23"/>
    </row>
    <row r="16" spans="1:24" s="21" customFormat="1" ht="12.75">
      <c r="A16" s="309" t="s">
        <v>186</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57" t="s">
        <v>187</v>
      </c>
      <c r="B18" s="257"/>
      <c r="C18" s="258"/>
      <c r="D18" s="258"/>
      <c r="E18" s="258"/>
      <c r="F18" s="258"/>
      <c r="G18" s="258"/>
      <c r="H18" s="258"/>
      <c r="I18" s="258"/>
      <c r="J18" s="258"/>
      <c r="K18" s="258"/>
      <c r="L18" s="258"/>
      <c r="M18" s="258"/>
      <c r="N18" s="258"/>
      <c r="O18" s="258"/>
      <c r="P18" s="258"/>
      <c r="Q18" s="258"/>
      <c r="R18" s="258"/>
      <c r="S18" s="258"/>
      <c r="T18" s="258"/>
      <c r="U18" s="258"/>
      <c r="V18" s="258"/>
      <c r="W18" s="258"/>
      <c r="X18" s="258"/>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09" t="s">
        <v>189</v>
      </c>
      <c r="B22" s="310"/>
      <c r="C22" s="310"/>
      <c r="D22" s="310"/>
      <c r="E22" s="310"/>
      <c r="F22" s="310"/>
      <c r="G22" s="310"/>
      <c r="H22" s="310"/>
      <c r="I22" s="310"/>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57" t="s">
        <v>190</v>
      </c>
      <c r="B24" s="257"/>
      <c r="C24" s="258"/>
      <c r="D24" s="258"/>
      <c r="E24" s="258"/>
      <c r="F24" s="258"/>
      <c r="G24" s="258"/>
      <c r="H24" s="258"/>
      <c r="I24" s="258"/>
      <c r="J24" s="258"/>
      <c r="K24" s="258"/>
      <c r="L24" s="258"/>
      <c r="M24" s="258"/>
      <c r="N24" s="258"/>
      <c r="O24" s="258"/>
      <c r="P24" s="258"/>
      <c r="Q24" s="258"/>
      <c r="R24" s="258"/>
      <c r="S24" s="258"/>
      <c r="T24" s="258"/>
      <c r="U24" s="258"/>
      <c r="V24" s="258"/>
      <c r="W24" s="258"/>
      <c r="X24" s="258"/>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3" t="s">
        <v>191</v>
      </c>
      <c r="B26" s="253"/>
      <c r="C26" s="254"/>
      <c r="D26" s="254"/>
      <c r="E26" s="254"/>
      <c r="F26" s="254"/>
      <c r="G26" s="254"/>
      <c r="H26" s="254"/>
      <c r="I26" s="254"/>
      <c r="J26" s="254"/>
      <c r="K26" s="254"/>
      <c r="L26" s="254"/>
      <c r="M26" s="254"/>
      <c r="N26" s="254"/>
      <c r="O26" s="254"/>
      <c r="P26" s="254"/>
      <c r="Q26" s="254"/>
      <c r="R26" s="254"/>
      <c r="S26" s="254"/>
      <c r="T26" s="254"/>
      <c r="U26" s="254"/>
      <c r="V26" s="254"/>
      <c r="W26" s="254"/>
      <c r="X26" s="254"/>
    </row>
    <row r="27" spans="1:8" s="21" customFormat="1" ht="6" customHeight="1">
      <c r="A27" s="25"/>
      <c r="B27" s="25"/>
      <c r="F27" s="23"/>
      <c r="G27" s="23"/>
      <c r="H27" s="23"/>
    </row>
    <row r="28" spans="1:24" ht="12.75" customHeight="1">
      <c r="A28" s="244" t="s">
        <v>177</v>
      </c>
      <c r="B28" s="246"/>
      <c r="C28" s="244" t="s">
        <v>170</v>
      </c>
      <c r="D28" s="245"/>
      <c r="E28" s="246"/>
      <c r="F28" s="244" t="s">
        <v>171</v>
      </c>
      <c r="G28" s="245"/>
      <c r="H28" s="245"/>
      <c r="I28" s="246"/>
      <c r="J28" s="244" t="s">
        <v>172</v>
      </c>
      <c r="K28" s="245"/>
      <c r="L28" s="245"/>
      <c r="M28" s="245"/>
      <c r="N28" s="245"/>
      <c r="O28" s="246"/>
      <c r="P28" s="244" t="s">
        <v>0</v>
      </c>
      <c r="Q28" s="245"/>
      <c r="R28" s="245"/>
      <c r="S28" s="245"/>
      <c r="T28" s="245"/>
      <c r="U28" s="245"/>
      <c r="V28" s="245"/>
      <c r="W28" s="245"/>
      <c r="X28" s="246"/>
    </row>
    <row r="29" spans="1:24" ht="12.75" customHeight="1">
      <c r="A29" s="241"/>
      <c r="B29" s="248"/>
      <c r="C29" s="241"/>
      <c r="D29" s="242"/>
      <c r="E29" s="243"/>
      <c r="F29" s="241"/>
      <c r="G29" s="247"/>
      <c r="H29" s="247"/>
      <c r="I29" s="248"/>
      <c r="J29" s="241" t="s">
        <v>315</v>
      </c>
      <c r="K29" s="247"/>
      <c r="L29" s="247"/>
      <c r="M29" s="247"/>
      <c r="N29" s="247"/>
      <c r="O29" s="248"/>
      <c r="P29" s="241" t="s">
        <v>316</v>
      </c>
      <c r="Q29" s="247"/>
      <c r="R29" s="247"/>
      <c r="S29" s="247"/>
      <c r="T29" s="247"/>
      <c r="U29" s="247"/>
      <c r="V29" s="247"/>
      <c r="W29" s="247"/>
      <c r="X29" s="248"/>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4" t="s">
        <v>173</v>
      </c>
      <c r="B31" s="245"/>
      <c r="C31" s="245"/>
      <c r="D31" s="245"/>
      <c r="E31" s="245"/>
      <c r="F31" s="246"/>
      <c r="G31" s="244" t="s">
        <v>174</v>
      </c>
      <c r="H31" s="245"/>
      <c r="I31" s="245"/>
      <c r="J31" s="246"/>
      <c r="K31" s="244" t="s">
        <v>175</v>
      </c>
      <c r="L31" s="245"/>
      <c r="M31" s="245"/>
      <c r="N31" s="245"/>
      <c r="O31" s="245"/>
      <c r="P31" s="246"/>
      <c r="Q31" s="244" t="s">
        <v>180</v>
      </c>
      <c r="R31" s="245"/>
      <c r="S31" s="245"/>
      <c r="T31" s="245"/>
      <c r="U31" s="245"/>
      <c r="V31" s="245"/>
      <c r="W31" s="245"/>
      <c r="X31" s="246"/>
    </row>
    <row r="32" spans="1:24" ht="12.75">
      <c r="A32" s="284" t="s">
        <v>317</v>
      </c>
      <c r="B32" s="285"/>
      <c r="C32" s="285"/>
      <c r="D32" s="285"/>
      <c r="E32" s="285"/>
      <c r="F32" s="286"/>
      <c r="G32" s="241" t="s">
        <v>318</v>
      </c>
      <c r="H32" s="242"/>
      <c r="I32" s="242"/>
      <c r="J32" s="243"/>
      <c r="K32" s="241" t="s">
        <v>233</v>
      </c>
      <c r="L32" s="247"/>
      <c r="M32" s="247"/>
      <c r="N32" s="247"/>
      <c r="O32" s="247"/>
      <c r="P32" s="248"/>
      <c r="Q32" s="241" t="s">
        <v>315</v>
      </c>
      <c r="R32" s="247"/>
      <c r="S32" s="247"/>
      <c r="T32" s="247"/>
      <c r="U32" s="247"/>
      <c r="V32" s="247"/>
      <c r="W32" s="247"/>
      <c r="X32" s="248"/>
    </row>
    <row r="33" spans="1:8" s="21" customFormat="1" ht="9" customHeight="1">
      <c r="A33" s="22"/>
      <c r="B33" s="22"/>
      <c r="F33" s="23"/>
      <c r="G33" s="23"/>
      <c r="H33" s="23"/>
    </row>
    <row r="34" s="27" customFormat="1" ht="12.75"/>
    <row r="35" spans="1:24" s="21" customFormat="1" ht="12.75" customHeight="1">
      <c r="A35" s="253" t="s">
        <v>192</v>
      </c>
      <c r="B35" s="253"/>
      <c r="C35" s="254"/>
      <c r="D35" s="254"/>
      <c r="E35" s="254"/>
      <c r="F35" s="254"/>
      <c r="G35" s="254"/>
      <c r="H35" s="254"/>
      <c r="I35" s="254"/>
      <c r="J35" s="254"/>
      <c r="K35" s="254"/>
      <c r="L35" s="254"/>
      <c r="M35" s="254"/>
      <c r="N35" s="254"/>
      <c r="O35" s="254"/>
      <c r="P35" s="254"/>
      <c r="Q35" s="254"/>
      <c r="R35" s="254"/>
      <c r="S35" s="254"/>
      <c r="T35" s="254"/>
      <c r="U35" s="254"/>
      <c r="V35" s="254"/>
      <c r="W35" s="254"/>
      <c r="X35" s="254"/>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4" t="s">
        <v>16</v>
      </c>
      <c r="B37" s="246"/>
      <c r="C37" s="92" t="s">
        <v>91</v>
      </c>
      <c r="D37" s="244" t="s">
        <v>14</v>
      </c>
      <c r="E37" s="245"/>
      <c r="F37" s="246"/>
      <c r="G37" s="244" t="s">
        <v>12</v>
      </c>
      <c r="H37" s="245"/>
      <c r="I37" s="245"/>
      <c r="J37" s="245"/>
      <c r="K37" s="245"/>
      <c r="L37" s="245"/>
      <c r="M37" s="245"/>
      <c r="N37" s="245"/>
      <c r="O37" s="245"/>
      <c r="P37" s="245"/>
      <c r="Q37" s="245"/>
      <c r="R37" s="245"/>
      <c r="S37" s="246"/>
      <c r="T37" s="93" t="s">
        <v>7</v>
      </c>
      <c r="U37" s="93" t="s">
        <v>8</v>
      </c>
      <c r="V37" s="93" t="s">
        <v>9</v>
      </c>
      <c r="W37" s="93" t="s">
        <v>10</v>
      </c>
      <c r="X37" s="93" t="s">
        <v>11</v>
      </c>
    </row>
    <row r="38" spans="1:24" s="21" customFormat="1" ht="12.75" customHeight="1">
      <c r="A38" s="251">
        <v>45200</v>
      </c>
      <c r="B38" s="252"/>
      <c r="C38" s="91" t="s">
        <v>333</v>
      </c>
      <c r="D38" s="241" t="s">
        <v>78</v>
      </c>
      <c r="E38" s="242"/>
      <c r="F38" s="243"/>
      <c r="G38" s="241" t="s">
        <v>319</v>
      </c>
      <c r="H38" s="242"/>
      <c r="I38" s="242"/>
      <c r="J38" s="242"/>
      <c r="K38" s="242"/>
      <c r="L38" s="242"/>
      <c r="M38" s="242"/>
      <c r="N38" s="242"/>
      <c r="O38" s="242"/>
      <c r="P38" s="242"/>
      <c r="Q38" s="242"/>
      <c r="R38" s="242"/>
      <c r="S38" s="243"/>
      <c r="T38" s="95">
        <f ca="1">IF(ISERROR(INDIRECT("'BDI ("&amp;RIGHT(T37,1)&amp;")'!N27")),"",INDIRECT("'BDI ("&amp;RIGHT(T37,1)&amp;")'!N27"))</f>
        <v>0.2034</v>
      </c>
      <c r="U38" s="96">
        <f ca="1">IF(ISERROR(INDIRECT("'BDI ("&amp;RIGHT(U37,1)&amp;")'!N27")),"",INDIRECT("'BDI ("&amp;RIGHT(U37,1)&amp;")'!N27"))</f>
        <v>0.2034</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3" t="s">
        <v>162</v>
      </c>
      <c r="B40" s="253"/>
      <c r="C40" s="254"/>
      <c r="D40" s="254"/>
      <c r="E40" s="254"/>
      <c r="F40" s="254"/>
      <c r="G40" s="254"/>
      <c r="H40" s="254"/>
      <c r="I40" s="254"/>
      <c r="J40" s="254"/>
      <c r="K40" s="254"/>
      <c r="L40" s="254"/>
      <c r="M40" s="254"/>
      <c r="N40" s="254"/>
      <c r="O40" s="254"/>
      <c r="P40" s="254"/>
      <c r="Q40" s="254"/>
      <c r="R40" s="254"/>
      <c r="S40" s="254"/>
      <c r="T40" s="254"/>
      <c r="U40" s="254"/>
      <c r="V40" s="254"/>
      <c r="W40" s="254"/>
      <c r="X40" s="254"/>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4" t="s">
        <v>87</v>
      </c>
      <c r="B42" s="246"/>
      <c r="C42" s="244" t="s">
        <v>111</v>
      </c>
      <c r="D42" s="245"/>
      <c r="E42" s="245"/>
      <c r="F42" s="245"/>
      <c r="G42" s="245"/>
      <c r="H42" s="244" t="s">
        <v>16</v>
      </c>
      <c r="I42" s="245"/>
      <c r="J42" s="28" t="s">
        <v>91</v>
      </c>
      <c r="K42" s="244" t="s">
        <v>88</v>
      </c>
      <c r="L42" s="245"/>
      <c r="M42" s="246"/>
      <c r="N42" s="28" t="s">
        <v>92</v>
      </c>
      <c r="O42" s="244" t="s">
        <v>93</v>
      </c>
      <c r="P42" s="245"/>
      <c r="Q42" s="245"/>
      <c r="R42" s="245"/>
      <c r="S42" s="245"/>
      <c r="T42" s="246"/>
      <c r="U42" s="291" t="s">
        <v>89</v>
      </c>
      <c r="V42" s="292"/>
      <c r="W42" s="291" t="s">
        <v>90</v>
      </c>
      <c r="X42" s="292"/>
    </row>
    <row r="43" spans="1:24" s="21" customFormat="1" ht="12.75" customHeight="1">
      <c r="A43" s="284"/>
      <c r="B43" s="314"/>
      <c r="C43" s="241"/>
      <c r="D43" s="242"/>
      <c r="E43" s="242"/>
      <c r="F43" s="242"/>
      <c r="G43" s="242"/>
      <c r="H43" s="251"/>
      <c r="I43" s="252"/>
      <c r="J43" s="88"/>
      <c r="K43" s="300"/>
      <c r="L43" s="301"/>
      <c r="M43" s="302"/>
      <c r="N43" s="104"/>
      <c r="O43" s="295"/>
      <c r="P43" s="296"/>
      <c r="Q43" s="296"/>
      <c r="R43" s="297"/>
      <c r="S43" s="297"/>
      <c r="T43" s="298"/>
      <c r="U43" s="293"/>
      <c r="V43" s="299"/>
      <c r="W43" s="293"/>
      <c r="X43" s="294"/>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3" t="s">
        <v>193</v>
      </c>
      <c r="B45" s="253"/>
      <c r="C45" s="254"/>
      <c r="D45" s="254"/>
      <c r="E45" s="254"/>
      <c r="F45" s="254"/>
      <c r="G45" s="254"/>
      <c r="H45" s="254"/>
      <c r="I45" s="254"/>
      <c r="J45" s="254"/>
      <c r="K45" s="254"/>
      <c r="L45" s="254"/>
      <c r="M45" s="254"/>
      <c r="N45" s="254"/>
      <c r="O45" s="254"/>
      <c r="P45" s="254"/>
      <c r="Q45" s="254"/>
      <c r="R45" s="254"/>
      <c r="S45" s="254"/>
      <c r="T45" s="254"/>
      <c r="U45" s="254"/>
      <c r="V45" s="254"/>
      <c r="W45" s="254"/>
      <c r="X45" s="254"/>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76">
        <v>45301</v>
      </c>
      <c r="B48" s="277"/>
      <c r="C48" s="278"/>
      <c r="E48" s="37"/>
    </row>
    <row r="49" spans="1:8" s="21" customFormat="1" ht="12.75">
      <c r="A49" s="22"/>
      <c r="B49" s="22"/>
      <c r="F49" s="33"/>
      <c r="G49" s="34"/>
      <c r="H49" s="35"/>
    </row>
    <row r="50" spans="1:24" s="21" customFormat="1" ht="12.75">
      <c r="A50" s="253" t="s">
        <v>194</v>
      </c>
      <c r="B50" s="253"/>
      <c r="C50" s="254"/>
      <c r="D50" s="254"/>
      <c r="E50" s="254"/>
      <c r="F50" s="254"/>
      <c r="G50" s="254"/>
      <c r="H50" s="254"/>
      <c r="I50" s="254"/>
      <c r="J50" s="254"/>
      <c r="K50" s="254"/>
      <c r="L50" s="254"/>
      <c r="M50" s="254"/>
      <c r="N50" s="254"/>
      <c r="O50" s="254"/>
      <c r="P50" s="254"/>
      <c r="Q50" s="254"/>
      <c r="R50" s="254"/>
      <c r="S50" s="254"/>
      <c r="T50" s="254"/>
      <c r="U50" s="254"/>
      <c r="V50" s="254"/>
      <c r="W50" s="254"/>
      <c r="X50" s="254"/>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231</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80"/>
      <c r="C54" s="281"/>
      <c r="D54" s="281"/>
      <c r="E54" s="281"/>
      <c r="F54" s="33"/>
      <c r="G54" s="101" t="s">
        <v>140</v>
      </c>
      <c r="H54" s="281"/>
      <c r="I54" s="281"/>
      <c r="J54" s="281"/>
      <c r="K54" s="281"/>
      <c r="L54" s="2"/>
      <c r="M54"/>
      <c r="N54"/>
      <c r="O54"/>
      <c r="P54"/>
      <c r="Q54"/>
      <c r="R54"/>
      <c r="S54"/>
      <c r="T54"/>
      <c r="U54"/>
      <c r="V54"/>
      <c r="W54"/>
      <c r="X54"/>
    </row>
    <row r="55" spans="1:24" s="21" customFormat="1" ht="12.75">
      <c r="A55" s="101" t="str">
        <f>IF(OR(TipoOrçamento="BASE",TipoOrçamento="REPROGRAMADONPL"),"Título:","Cargo:")</f>
        <v>Cargo:</v>
      </c>
      <c r="B55" s="280"/>
      <c r="C55" s="281"/>
      <c r="D55" s="281"/>
      <c r="E55" s="281"/>
      <c r="F55" s="33"/>
      <c r="G55" s="101" t="str">
        <f>A55</f>
        <v>Cargo:</v>
      </c>
      <c r="H55" s="281"/>
      <c r="I55" s="281"/>
      <c r="J55" s="281"/>
      <c r="K55" s="281"/>
      <c r="L55" s="2"/>
      <c r="M55"/>
      <c r="N55"/>
      <c r="O55"/>
      <c r="P55"/>
      <c r="Q55"/>
      <c r="R55"/>
      <c r="S55"/>
      <c r="T55"/>
      <c r="U55"/>
      <c r="V55"/>
      <c r="W55"/>
      <c r="X55"/>
    </row>
    <row r="56" spans="1:24" s="21" customFormat="1" ht="12.75">
      <c r="A56" s="101" t="str">
        <f>IF(OR(TipoOrçamento="BASE",TipoOrçamento="REPROGRAMADONPL"),"CREA/CAU:","Empresa:")</f>
        <v>Empresa:</v>
      </c>
      <c r="B56" s="311"/>
      <c r="C56" s="279"/>
      <c r="D56" s="279"/>
      <c r="E56" s="279"/>
      <c r="F56" s="33"/>
      <c r="G56" s="101" t="str">
        <f>A56</f>
        <v>Empresa:</v>
      </c>
      <c r="H56" s="279"/>
      <c r="I56" s="279"/>
      <c r="J56" s="279"/>
      <c r="K56" s="279"/>
      <c r="L56" s="2"/>
      <c r="M56"/>
      <c r="N56"/>
      <c r="O56"/>
      <c r="P56"/>
      <c r="Q56"/>
      <c r="R56"/>
      <c r="S56"/>
      <c r="T56"/>
      <c r="U56"/>
      <c r="V56"/>
      <c r="W56"/>
      <c r="X56"/>
    </row>
    <row r="57" spans="1:24" s="21" customFormat="1" ht="12.75">
      <c r="A57" s="101" t="str">
        <f>IF(OR(TipoOrçamento="BASE",TipoOrçamento="REPROGRAMADONPL"),"ART/RRT:","CNPJ:")</f>
        <v>CNPJ:</v>
      </c>
      <c r="B57" s="311"/>
      <c r="C57" s="279"/>
      <c r="D57" s="279"/>
      <c r="E57" s="279"/>
      <c r="F57" s="33"/>
      <c r="G57" s="101" t="str">
        <f>A57</f>
        <v>CNPJ:</v>
      </c>
      <c r="H57" s="279"/>
      <c r="I57" s="279"/>
      <c r="J57" s="279"/>
      <c r="K57" s="279"/>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57" t="s">
        <v>195</v>
      </c>
      <c r="B60" s="257"/>
      <c r="C60" s="258"/>
      <c r="D60" s="258"/>
      <c r="E60" s="258"/>
      <c r="F60" s="258"/>
      <c r="G60" s="258"/>
      <c r="H60" s="258"/>
      <c r="I60" s="258"/>
      <c r="J60" s="258"/>
      <c r="K60" s="258"/>
      <c r="L60" s="258"/>
      <c r="M60" s="258"/>
      <c r="N60" s="258"/>
      <c r="O60" s="258"/>
      <c r="P60" s="258"/>
      <c r="Q60" s="258"/>
      <c r="R60" s="258"/>
      <c r="S60" s="258"/>
      <c r="T60" s="258"/>
      <c r="U60" s="258"/>
      <c r="V60" s="258"/>
      <c r="W60" s="258"/>
      <c r="X60" s="258"/>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82" t="s">
        <v>196</v>
      </c>
      <c r="B62" s="312"/>
      <c r="C62" s="313"/>
      <c r="D62" s="313"/>
      <c r="E62" s="313"/>
      <c r="F62" s="313"/>
      <c r="G62" s="313"/>
      <c r="H62" s="313"/>
      <c r="I62" s="313"/>
      <c r="J62" s="313"/>
      <c r="K62" s="313"/>
      <c r="L62" s="313"/>
      <c r="M62" s="313"/>
      <c r="N62" s="313"/>
      <c r="O62" s="313"/>
      <c r="P62" s="313"/>
      <c r="Q62" s="313"/>
      <c r="R62" s="313"/>
      <c r="S62" s="313"/>
      <c r="T62" s="313"/>
      <c r="U62" s="313"/>
      <c r="V62" s="313"/>
      <c r="W62" s="313"/>
      <c r="X62" s="313"/>
    </row>
    <row r="63" spans="1:24" s="21" customFormat="1" ht="30" customHeight="1">
      <c r="A63" s="282" t="s">
        <v>197</v>
      </c>
      <c r="B63" s="282"/>
      <c r="C63" s="283"/>
      <c r="D63" s="283"/>
      <c r="E63" s="283"/>
      <c r="F63" s="283"/>
      <c r="G63" s="283"/>
      <c r="H63" s="283"/>
      <c r="I63" s="283"/>
      <c r="J63" s="283"/>
      <c r="K63" s="283"/>
      <c r="L63" s="283"/>
      <c r="M63" s="283"/>
      <c r="N63" s="283"/>
      <c r="O63" s="283"/>
      <c r="P63" s="283"/>
      <c r="Q63" s="283"/>
      <c r="R63" s="283"/>
      <c r="S63" s="283"/>
      <c r="T63" s="283"/>
      <c r="U63" s="283"/>
      <c r="V63" s="283"/>
      <c r="W63" s="283"/>
      <c r="X63" s="283"/>
    </row>
    <row r="64" spans="1:24" s="21" customFormat="1" ht="12.75">
      <c r="A64" s="22"/>
      <c r="B64" s="22"/>
      <c r="F64" s="33"/>
      <c r="G64" s="34"/>
      <c r="H64" s="35"/>
      <c r="M64"/>
      <c r="N64"/>
      <c r="O64"/>
      <c r="P64"/>
      <c r="Q64"/>
      <c r="R64"/>
      <c r="S64"/>
      <c r="T64"/>
      <c r="U64"/>
      <c r="V64"/>
      <c r="W64"/>
      <c r="X64"/>
    </row>
    <row r="65" spans="1:24" s="21" customFormat="1" ht="12.75" customHeight="1">
      <c r="A65" s="257" t="s">
        <v>198</v>
      </c>
      <c r="B65" s="257"/>
      <c r="C65" s="258"/>
      <c r="D65" s="258"/>
      <c r="E65" s="258"/>
      <c r="F65" s="258"/>
      <c r="G65" s="258"/>
      <c r="H65" s="258"/>
      <c r="I65" s="258"/>
      <c r="J65" s="258"/>
      <c r="K65" s="258"/>
      <c r="L65" s="258"/>
      <c r="M65" s="258"/>
      <c r="N65" s="258"/>
      <c r="O65" s="258"/>
      <c r="P65" s="258"/>
      <c r="Q65" s="258"/>
      <c r="R65" s="258"/>
      <c r="S65" s="258"/>
      <c r="T65" s="258"/>
      <c r="U65" s="258"/>
      <c r="V65" s="258"/>
      <c r="W65" s="258"/>
      <c r="X65" s="258"/>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3" t="s">
        <v>199</v>
      </c>
      <c r="B67" s="253"/>
      <c r="C67" s="254"/>
      <c r="D67" s="254"/>
      <c r="E67" s="254"/>
      <c r="F67" s="254"/>
      <c r="G67" s="254"/>
      <c r="H67" s="254"/>
      <c r="I67" s="254"/>
      <c r="J67" s="254"/>
      <c r="K67" s="254"/>
      <c r="L67" s="254"/>
      <c r="M67" s="254"/>
      <c r="N67" s="254"/>
      <c r="O67" s="254"/>
      <c r="P67" s="254"/>
      <c r="Q67" s="254"/>
      <c r="R67" s="254"/>
      <c r="S67" s="254"/>
      <c r="T67" s="254"/>
      <c r="U67" s="254"/>
      <c r="V67" s="254"/>
      <c r="W67" s="254"/>
      <c r="X67" s="254"/>
    </row>
    <row r="68" spans="1:24" s="21" customFormat="1" ht="12.75">
      <c r="A68" s="253" t="s">
        <v>200</v>
      </c>
      <c r="B68" s="253"/>
      <c r="C68" s="254"/>
      <c r="D68" s="254"/>
      <c r="E68" s="254"/>
      <c r="F68" s="254"/>
      <c r="G68" s="254"/>
      <c r="H68" s="254"/>
      <c r="I68" s="254"/>
      <c r="J68" s="254"/>
      <c r="K68" s="254"/>
      <c r="L68" s="254"/>
      <c r="M68" s="254"/>
      <c r="N68" s="254"/>
      <c r="O68" s="254"/>
      <c r="P68" s="254"/>
      <c r="Q68" s="254"/>
      <c r="R68" s="254"/>
      <c r="S68" s="254"/>
      <c r="T68" s="254"/>
      <c r="U68" s="254"/>
      <c r="V68" s="254"/>
      <c r="W68" s="254"/>
      <c r="X68" s="254"/>
    </row>
    <row r="69" spans="1:24" s="21" customFormat="1" ht="12.75" customHeight="1">
      <c r="A69" s="253" t="s">
        <v>201</v>
      </c>
      <c r="B69" s="253"/>
      <c r="C69" s="254"/>
      <c r="D69" s="254"/>
      <c r="E69" s="254"/>
      <c r="F69" s="254"/>
      <c r="G69" s="254"/>
      <c r="H69" s="254"/>
      <c r="I69" s="254"/>
      <c r="J69" s="254"/>
      <c r="K69" s="254"/>
      <c r="L69" s="254"/>
      <c r="M69" s="254"/>
      <c r="N69" s="254"/>
      <c r="O69" s="254"/>
      <c r="P69" s="254"/>
      <c r="Q69" s="254"/>
      <c r="R69" s="254"/>
      <c r="S69" s="254"/>
      <c r="T69" s="254"/>
      <c r="U69" s="254"/>
      <c r="V69" s="254"/>
      <c r="W69" s="254"/>
      <c r="X69" s="254"/>
    </row>
    <row r="70" spans="1:24" s="21" customFormat="1" ht="12.75" customHeight="1">
      <c r="A70" s="253" t="s">
        <v>202</v>
      </c>
      <c r="B70" s="253"/>
      <c r="C70" s="254"/>
      <c r="D70" s="254"/>
      <c r="E70" s="254"/>
      <c r="F70" s="254"/>
      <c r="G70" s="254"/>
      <c r="H70" s="254"/>
      <c r="I70" s="254"/>
      <c r="J70" s="254"/>
      <c r="K70" s="254"/>
      <c r="L70" s="254"/>
      <c r="M70" s="254"/>
      <c r="N70" s="254"/>
      <c r="O70" s="254"/>
      <c r="P70" s="254"/>
      <c r="Q70" s="254"/>
      <c r="R70" s="254"/>
      <c r="S70" s="254"/>
      <c r="T70" s="254"/>
      <c r="U70" s="254"/>
      <c r="V70" s="254"/>
      <c r="W70" s="254"/>
      <c r="X70" s="254"/>
    </row>
    <row r="71" spans="1:24" s="21" customFormat="1" ht="12.75" customHeight="1">
      <c r="A71" s="253" t="s">
        <v>203</v>
      </c>
      <c r="B71" s="253"/>
      <c r="C71" s="254"/>
      <c r="D71" s="254"/>
      <c r="E71" s="254"/>
      <c r="F71" s="254"/>
      <c r="G71" s="254"/>
      <c r="H71" s="254"/>
      <c r="I71" s="254"/>
      <c r="J71" s="254"/>
      <c r="K71" s="254"/>
      <c r="L71" s="254"/>
      <c r="M71" s="254"/>
      <c r="N71" s="254"/>
      <c r="O71" s="254"/>
      <c r="P71" s="254"/>
      <c r="Q71" s="254"/>
      <c r="R71" s="254"/>
      <c r="S71" s="254"/>
      <c r="T71" s="254"/>
      <c r="U71" s="254"/>
      <c r="V71" s="254"/>
      <c r="W71" s="254"/>
      <c r="X71" s="254"/>
    </row>
    <row r="72" spans="1:24" s="21" customFormat="1" ht="12.75" customHeight="1">
      <c r="A72" s="253" t="s">
        <v>204</v>
      </c>
      <c r="B72" s="253"/>
      <c r="C72" s="254"/>
      <c r="D72" s="254"/>
      <c r="E72" s="254"/>
      <c r="F72" s="254"/>
      <c r="G72" s="254"/>
      <c r="H72" s="254"/>
      <c r="I72" s="254"/>
      <c r="J72" s="254"/>
      <c r="K72" s="254"/>
      <c r="L72" s="254"/>
      <c r="M72" s="254"/>
      <c r="N72" s="254"/>
      <c r="O72" s="254"/>
      <c r="P72" s="254"/>
      <c r="Q72" s="254"/>
      <c r="R72" s="254"/>
      <c r="S72" s="254"/>
      <c r="T72" s="254"/>
      <c r="U72" s="254"/>
      <c r="V72" s="254"/>
      <c r="W72" s="254"/>
      <c r="X72" s="254"/>
    </row>
    <row r="73" spans="1:8" s="21" customFormat="1" ht="12.75">
      <c r="A73" s="22"/>
      <c r="B73" s="22"/>
      <c r="F73" s="33"/>
      <c r="G73" s="34"/>
      <c r="H73" s="35"/>
    </row>
    <row r="74" spans="1:24" s="21" customFormat="1" ht="12.75" customHeight="1">
      <c r="A74" s="257" t="s">
        <v>205</v>
      </c>
      <c r="B74" s="257"/>
      <c r="C74" s="258"/>
      <c r="D74" s="258"/>
      <c r="E74" s="258"/>
      <c r="F74" s="258"/>
      <c r="G74" s="258"/>
      <c r="H74" s="258"/>
      <c r="I74" s="258"/>
      <c r="J74" s="258"/>
      <c r="K74" s="258"/>
      <c r="L74" s="258"/>
      <c r="M74" s="258"/>
      <c r="N74" s="258"/>
      <c r="O74" s="258"/>
      <c r="P74" s="258"/>
      <c r="Q74" s="258"/>
      <c r="R74" s="258"/>
      <c r="S74" s="258"/>
      <c r="T74" s="258"/>
      <c r="U74" s="258"/>
      <c r="V74" s="258"/>
      <c r="W74" s="258"/>
      <c r="X74" s="258"/>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3" t="s">
        <v>206</v>
      </c>
      <c r="B76" s="253"/>
      <c r="C76" s="254"/>
      <c r="D76" s="254"/>
      <c r="E76" s="254"/>
      <c r="F76" s="254"/>
      <c r="G76" s="254"/>
      <c r="H76" s="254"/>
      <c r="I76" s="254"/>
      <c r="J76" s="254"/>
      <c r="K76" s="254"/>
      <c r="L76" s="254"/>
      <c r="M76" s="254"/>
      <c r="N76" s="254"/>
      <c r="O76" s="254"/>
      <c r="P76" s="254"/>
      <c r="Q76" s="254"/>
      <c r="R76" s="254"/>
      <c r="S76" s="254"/>
      <c r="T76" s="254"/>
      <c r="U76" s="254"/>
      <c r="V76" s="254"/>
      <c r="W76" s="254"/>
      <c r="X76" s="254"/>
    </row>
    <row r="77" spans="1:24" s="21" customFormat="1" ht="26.1" customHeight="1">
      <c r="A77" s="255" t="s">
        <v>207</v>
      </c>
      <c r="B77" s="255"/>
      <c r="C77" s="256"/>
      <c r="D77" s="256"/>
      <c r="E77" s="256"/>
      <c r="F77" s="256"/>
      <c r="G77" s="256"/>
      <c r="H77" s="256"/>
      <c r="I77" s="256"/>
      <c r="J77" s="256"/>
      <c r="K77" s="256"/>
      <c r="L77" s="256"/>
      <c r="M77" s="256"/>
      <c r="N77" s="256"/>
      <c r="O77" s="256"/>
      <c r="P77" s="256"/>
      <c r="Q77" s="256"/>
      <c r="R77" s="256"/>
      <c r="S77" s="256"/>
      <c r="T77" s="256"/>
      <c r="U77" s="256"/>
      <c r="V77" s="256"/>
      <c r="W77" s="256"/>
      <c r="X77" s="256"/>
    </row>
    <row r="78" spans="1:24" s="21" customFormat="1" ht="12.75" customHeight="1">
      <c r="A78" s="253" t="s">
        <v>208</v>
      </c>
      <c r="B78" s="253"/>
      <c r="C78" s="254"/>
      <c r="D78" s="254"/>
      <c r="E78" s="254"/>
      <c r="F78" s="254"/>
      <c r="G78" s="254"/>
      <c r="H78" s="254"/>
      <c r="I78" s="254"/>
      <c r="J78" s="254"/>
      <c r="K78" s="254"/>
      <c r="L78" s="254"/>
      <c r="M78" s="254"/>
      <c r="N78" s="254"/>
      <c r="O78" s="254"/>
      <c r="P78" s="254"/>
      <c r="Q78" s="254"/>
      <c r="R78" s="254"/>
      <c r="S78" s="254"/>
      <c r="T78" s="254"/>
      <c r="U78" s="254"/>
      <c r="V78" s="254"/>
      <c r="W78" s="254"/>
      <c r="X78" s="254"/>
    </row>
    <row r="79" spans="1:24" s="21" customFormat="1" ht="25.5" customHeight="1">
      <c r="A79" s="253" t="s">
        <v>209</v>
      </c>
      <c r="B79" s="253"/>
      <c r="C79" s="254"/>
      <c r="D79" s="254"/>
      <c r="E79" s="254"/>
      <c r="F79" s="254"/>
      <c r="G79" s="254"/>
      <c r="H79" s="254"/>
      <c r="I79" s="254"/>
      <c r="J79" s="254"/>
      <c r="K79" s="254"/>
      <c r="L79" s="254"/>
      <c r="M79" s="254"/>
      <c r="N79" s="254"/>
      <c r="O79" s="254"/>
      <c r="P79" s="254"/>
      <c r="Q79" s="254"/>
      <c r="R79" s="254"/>
      <c r="S79" s="254"/>
      <c r="T79" s="254"/>
      <c r="U79" s="254"/>
      <c r="V79" s="254"/>
      <c r="W79" s="254"/>
      <c r="X79" s="254"/>
    </row>
    <row r="80" spans="1:24" s="21" customFormat="1" ht="12.75">
      <c r="A80" s="255" t="s">
        <v>210</v>
      </c>
      <c r="B80" s="255"/>
      <c r="C80" s="256"/>
      <c r="D80" s="256"/>
      <c r="E80" s="256"/>
      <c r="F80" s="256"/>
      <c r="G80" s="256"/>
      <c r="H80" s="256"/>
      <c r="I80" s="256"/>
      <c r="J80" s="256"/>
      <c r="K80" s="256"/>
      <c r="L80" s="256"/>
      <c r="M80" s="256"/>
      <c r="N80" s="256"/>
      <c r="O80" s="256"/>
      <c r="P80" s="256"/>
      <c r="Q80" s="256"/>
      <c r="R80" s="256"/>
      <c r="S80" s="256"/>
      <c r="T80" s="256"/>
      <c r="U80" s="256"/>
      <c r="V80" s="256"/>
      <c r="W80" s="256"/>
      <c r="X80" s="256"/>
    </row>
    <row r="81" spans="1:24" ht="12.75" customHeight="1">
      <c r="A81" s="253" t="s">
        <v>211</v>
      </c>
      <c r="B81" s="253"/>
      <c r="C81" s="254"/>
      <c r="D81" s="254"/>
      <c r="E81" s="254"/>
      <c r="F81" s="254"/>
      <c r="G81" s="254"/>
      <c r="H81" s="254"/>
      <c r="I81" s="254"/>
      <c r="J81" s="254"/>
      <c r="K81" s="254"/>
      <c r="L81" s="254"/>
      <c r="M81" s="254"/>
      <c r="N81" s="254"/>
      <c r="O81" s="254"/>
      <c r="P81" s="254"/>
      <c r="Q81" s="254"/>
      <c r="R81" s="254"/>
      <c r="S81" s="254"/>
      <c r="T81" s="254"/>
      <c r="U81" s="254"/>
      <c r="V81" s="254"/>
      <c r="W81" s="254"/>
      <c r="X81" s="254"/>
    </row>
    <row r="82" spans="1:24" ht="26.1" customHeight="1">
      <c r="A82" s="253" t="s">
        <v>212</v>
      </c>
      <c r="B82" s="253"/>
      <c r="C82" s="254"/>
      <c r="D82" s="254"/>
      <c r="E82" s="254"/>
      <c r="F82" s="254"/>
      <c r="G82" s="254"/>
      <c r="H82" s="254"/>
      <c r="I82" s="254"/>
      <c r="J82" s="254"/>
      <c r="K82" s="254"/>
      <c r="L82" s="254"/>
      <c r="M82" s="254"/>
      <c r="N82" s="254"/>
      <c r="O82" s="254"/>
      <c r="P82" s="254"/>
      <c r="Q82" s="254"/>
      <c r="R82" s="254"/>
      <c r="S82" s="254"/>
      <c r="T82" s="254"/>
      <c r="U82" s="254"/>
      <c r="V82" s="254"/>
      <c r="W82" s="254"/>
      <c r="X82" s="254"/>
    </row>
    <row r="83" spans="1:24" s="21" customFormat="1" ht="26.1" customHeight="1">
      <c r="A83" s="253" t="s">
        <v>213</v>
      </c>
      <c r="B83" s="253"/>
      <c r="C83" s="254"/>
      <c r="D83" s="254"/>
      <c r="E83" s="254"/>
      <c r="F83" s="254"/>
      <c r="G83" s="254"/>
      <c r="H83" s="254"/>
      <c r="I83" s="254"/>
      <c r="J83" s="254"/>
      <c r="K83" s="254"/>
      <c r="L83" s="254"/>
      <c r="M83" s="254"/>
      <c r="N83" s="254"/>
      <c r="O83" s="254"/>
      <c r="P83" s="254"/>
      <c r="Q83" s="254"/>
      <c r="R83" s="254"/>
      <c r="S83" s="254"/>
      <c r="T83" s="254"/>
      <c r="U83" s="254"/>
      <c r="V83" s="254"/>
      <c r="W83" s="254"/>
      <c r="X83" s="254"/>
    </row>
    <row r="84" spans="1:24" s="21" customFormat="1" ht="12.75" customHeight="1">
      <c r="A84" s="253" t="s">
        <v>214</v>
      </c>
      <c r="B84" s="253"/>
      <c r="C84" s="254"/>
      <c r="D84" s="254"/>
      <c r="E84" s="254"/>
      <c r="F84" s="254"/>
      <c r="G84" s="254"/>
      <c r="H84" s="254"/>
      <c r="I84" s="254"/>
      <c r="J84" s="254"/>
      <c r="K84" s="254"/>
      <c r="L84" s="254"/>
      <c r="M84" s="254"/>
      <c r="N84" s="254"/>
      <c r="O84" s="254"/>
      <c r="P84" s="254"/>
      <c r="Q84" s="254"/>
      <c r="R84" s="254"/>
      <c r="S84" s="254"/>
      <c r="T84" s="254"/>
      <c r="U84" s="254"/>
      <c r="V84" s="254"/>
      <c r="W84" s="254"/>
      <c r="X84" s="254"/>
    </row>
    <row r="85" spans="1:24" s="21" customFormat="1" ht="12.75">
      <c r="A85" s="253" t="s">
        <v>215</v>
      </c>
      <c r="B85" s="253"/>
      <c r="C85" s="254"/>
      <c r="D85" s="254"/>
      <c r="E85" s="254"/>
      <c r="F85" s="254"/>
      <c r="G85" s="254"/>
      <c r="H85" s="254"/>
      <c r="I85" s="254"/>
      <c r="J85" s="254"/>
      <c r="K85" s="254"/>
      <c r="L85" s="254"/>
      <c r="M85" s="254"/>
      <c r="N85" s="254"/>
      <c r="O85" s="254"/>
      <c r="P85" s="254"/>
      <c r="Q85" s="254"/>
      <c r="R85" s="254"/>
      <c r="S85" s="254"/>
      <c r="T85" s="254"/>
      <c r="U85" s="254"/>
      <c r="V85" s="254"/>
      <c r="W85" s="254"/>
      <c r="X85" s="254"/>
    </row>
    <row r="86" spans="1:24" ht="12.75" customHeight="1">
      <c r="A86" s="255" t="s">
        <v>216</v>
      </c>
      <c r="B86" s="255"/>
      <c r="C86" s="256"/>
      <c r="D86" s="256"/>
      <c r="E86" s="256"/>
      <c r="F86" s="256"/>
      <c r="G86" s="256"/>
      <c r="H86" s="256"/>
      <c r="I86" s="256"/>
      <c r="J86" s="256"/>
      <c r="K86" s="256"/>
      <c r="L86" s="256"/>
      <c r="M86" s="256"/>
      <c r="N86" s="256"/>
      <c r="O86" s="256"/>
      <c r="P86" s="256"/>
      <c r="Q86" s="256"/>
      <c r="R86" s="256"/>
      <c r="S86" s="256"/>
      <c r="T86" s="256"/>
      <c r="U86" s="256"/>
      <c r="V86" s="256"/>
      <c r="W86" s="256"/>
      <c r="X86" s="256"/>
    </row>
    <row r="87" spans="1:24" ht="12.75">
      <c r="A87" s="253" t="s">
        <v>217</v>
      </c>
      <c r="B87" s="253"/>
      <c r="C87" s="254"/>
      <c r="D87" s="254"/>
      <c r="E87" s="254"/>
      <c r="F87" s="254"/>
      <c r="G87" s="254"/>
      <c r="H87" s="254"/>
      <c r="I87" s="254"/>
      <c r="J87" s="254"/>
      <c r="K87" s="254"/>
      <c r="L87" s="254"/>
      <c r="M87" s="254"/>
      <c r="N87" s="254"/>
      <c r="O87" s="254"/>
      <c r="P87" s="254"/>
      <c r="Q87" s="254"/>
      <c r="R87" s="254"/>
      <c r="S87" s="254"/>
      <c r="T87" s="254"/>
      <c r="U87" s="254"/>
      <c r="V87" s="254"/>
      <c r="W87" s="254"/>
      <c r="X87" s="254"/>
    </row>
    <row r="88" spans="1:24" ht="12.75">
      <c r="A88" s="253" t="s">
        <v>218</v>
      </c>
      <c r="B88" s="253"/>
      <c r="C88" s="254"/>
      <c r="D88" s="254"/>
      <c r="E88" s="254"/>
      <c r="F88" s="254"/>
      <c r="G88" s="254"/>
      <c r="H88" s="254"/>
      <c r="I88" s="254"/>
      <c r="J88" s="254"/>
      <c r="K88" s="254"/>
      <c r="L88" s="254"/>
      <c r="M88" s="254"/>
      <c r="N88" s="254"/>
      <c r="O88" s="254"/>
      <c r="P88" s="254"/>
      <c r="Q88" s="254"/>
      <c r="R88" s="254"/>
      <c r="S88" s="254"/>
      <c r="T88" s="254"/>
      <c r="U88" s="254"/>
      <c r="V88" s="254"/>
      <c r="W88" s="254"/>
      <c r="X88" s="254"/>
    </row>
    <row r="90" spans="1:24" ht="12.75">
      <c r="A90" s="257" t="s">
        <v>219</v>
      </c>
      <c r="B90" s="257"/>
      <c r="C90" s="258"/>
      <c r="D90" s="258"/>
      <c r="E90" s="258"/>
      <c r="F90" s="258"/>
      <c r="G90" s="258"/>
      <c r="H90" s="258"/>
      <c r="I90" s="258"/>
      <c r="J90" s="258"/>
      <c r="K90" s="258"/>
      <c r="L90" s="258"/>
      <c r="M90" s="258"/>
      <c r="N90" s="258"/>
      <c r="O90" s="258"/>
      <c r="P90" s="258"/>
      <c r="Q90" s="258"/>
      <c r="R90" s="258"/>
      <c r="S90" s="258"/>
      <c r="T90" s="258"/>
      <c r="U90" s="258"/>
      <c r="V90" s="258"/>
      <c r="W90" s="258"/>
      <c r="X90" s="258"/>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3" t="s">
        <v>220</v>
      </c>
      <c r="B92" s="253"/>
      <c r="C92" s="254"/>
      <c r="D92" s="254"/>
      <c r="E92" s="254"/>
      <c r="F92" s="254"/>
      <c r="G92" s="254"/>
      <c r="H92" s="254"/>
      <c r="I92" s="254"/>
      <c r="J92" s="254"/>
      <c r="K92" s="254"/>
      <c r="L92" s="254"/>
      <c r="M92" s="254"/>
      <c r="N92" s="254"/>
      <c r="O92" s="254"/>
      <c r="P92" s="254"/>
      <c r="Q92" s="254"/>
      <c r="R92" s="254"/>
      <c r="S92" s="254"/>
      <c r="T92" s="254"/>
      <c r="U92" s="254"/>
      <c r="V92" s="254"/>
      <c r="W92" s="254"/>
      <c r="X92" s="254"/>
    </row>
    <row r="93" spans="1:24" ht="12.75" customHeight="1">
      <c r="A93" s="255" t="s">
        <v>221</v>
      </c>
      <c r="B93" s="255"/>
      <c r="C93" s="256"/>
      <c r="D93" s="256"/>
      <c r="E93" s="256"/>
      <c r="F93" s="256"/>
      <c r="G93" s="256"/>
      <c r="H93" s="256"/>
      <c r="I93" s="256"/>
      <c r="J93" s="256"/>
      <c r="K93" s="256"/>
      <c r="L93" s="256"/>
      <c r="M93" s="256"/>
      <c r="N93" s="256"/>
      <c r="O93" s="256"/>
      <c r="P93" s="256"/>
      <c r="Q93" s="256"/>
      <c r="R93" s="256"/>
      <c r="S93" s="256"/>
      <c r="T93" s="256"/>
      <c r="U93" s="256"/>
      <c r="V93" s="256"/>
      <c r="W93" s="256"/>
      <c r="X93" s="256"/>
    </row>
    <row r="94" spans="1:24" ht="12.75" customHeight="1">
      <c r="A94" s="253" t="s">
        <v>222</v>
      </c>
      <c r="B94" s="253"/>
      <c r="C94" s="254"/>
      <c r="D94" s="254"/>
      <c r="E94" s="254"/>
      <c r="F94" s="254"/>
      <c r="G94" s="254"/>
      <c r="H94" s="254"/>
      <c r="I94" s="254"/>
      <c r="J94" s="254"/>
      <c r="K94" s="254"/>
      <c r="L94" s="254"/>
      <c r="M94" s="254"/>
      <c r="N94" s="254"/>
      <c r="O94" s="254"/>
      <c r="P94" s="254"/>
      <c r="Q94" s="254"/>
      <c r="R94" s="254"/>
      <c r="S94" s="254"/>
      <c r="T94" s="254"/>
      <c r="U94" s="254"/>
      <c r="V94" s="254"/>
      <c r="W94" s="254"/>
      <c r="X94" s="254"/>
    </row>
    <row r="95" spans="1:24" ht="12.75">
      <c r="A95" s="253" t="s">
        <v>223</v>
      </c>
      <c r="B95" s="253"/>
      <c r="C95" s="254"/>
      <c r="D95" s="254"/>
      <c r="E95" s="254"/>
      <c r="F95" s="254"/>
      <c r="G95" s="254"/>
      <c r="H95" s="254"/>
      <c r="I95" s="254"/>
      <c r="J95" s="254"/>
      <c r="K95" s="254"/>
      <c r="L95" s="254"/>
      <c r="M95" s="254"/>
      <c r="N95" s="254"/>
      <c r="O95" s="254"/>
      <c r="P95" s="254"/>
      <c r="Q95" s="254"/>
      <c r="R95" s="254"/>
      <c r="S95" s="254"/>
      <c r="T95" s="254"/>
      <c r="U95" s="254"/>
      <c r="V95" s="254"/>
      <c r="W95" s="254"/>
      <c r="X95" s="254"/>
    </row>
    <row r="96" spans="1:24" ht="12.75" customHeight="1">
      <c r="A96" s="255"/>
      <c r="B96" s="255"/>
      <c r="C96" s="256"/>
      <c r="D96" s="256"/>
      <c r="E96" s="256"/>
      <c r="F96" s="256"/>
      <c r="G96" s="256"/>
      <c r="H96" s="256"/>
      <c r="I96" s="256"/>
      <c r="J96" s="256"/>
      <c r="K96" s="256"/>
      <c r="L96" s="256"/>
      <c r="M96" s="256"/>
      <c r="N96" s="256"/>
      <c r="O96" s="256"/>
      <c r="P96" s="256"/>
      <c r="Q96" s="256"/>
      <c r="R96" s="256"/>
      <c r="S96" s="256"/>
      <c r="T96" s="256"/>
      <c r="U96" s="256"/>
      <c r="V96" s="256"/>
      <c r="W96" s="256"/>
      <c r="X96" s="256"/>
    </row>
    <row r="97" spans="1:24" ht="12.75">
      <c r="A97" s="257" t="s">
        <v>224</v>
      </c>
      <c r="B97" s="257"/>
      <c r="C97" s="258"/>
      <c r="D97" s="258"/>
      <c r="E97" s="258"/>
      <c r="F97" s="258"/>
      <c r="G97" s="258"/>
      <c r="H97" s="258"/>
      <c r="I97" s="258"/>
      <c r="J97" s="258"/>
      <c r="K97" s="258"/>
      <c r="L97" s="258"/>
      <c r="M97" s="258"/>
      <c r="N97" s="258"/>
      <c r="O97" s="258"/>
      <c r="P97" s="258"/>
      <c r="Q97" s="258"/>
      <c r="R97" s="258"/>
      <c r="S97" s="258"/>
      <c r="T97" s="258"/>
      <c r="U97" s="258"/>
      <c r="V97" s="258"/>
      <c r="W97" s="258"/>
      <c r="X97" s="258"/>
    </row>
    <row r="98" spans="1:24" ht="12.75" customHeight="1">
      <c r="A98" s="255"/>
      <c r="B98" s="255"/>
      <c r="C98" s="256"/>
      <c r="D98" s="256"/>
      <c r="E98" s="256"/>
      <c r="F98" s="256"/>
      <c r="G98" s="256"/>
      <c r="H98" s="256"/>
      <c r="I98" s="256"/>
      <c r="J98" s="256"/>
      <c r="K98" s="256"/>
      <c r="L98" s="256"/>
      <c r="M98" s="256"/>
      <c r="N98" s="256"/>
      <c r="O98" s="256"/>
      <c r="P98" s="256"/>
      <c r="Q98" s="256"/>
      <c r="R98" s="256"/>
      <c r="S98" s="256"/>
      <c r="T98" s="256"/>
      <c r="U98" s="256"/>
      <c r="V98" s="256"/>
      <c r="W98" s="256"/>
      <c r="X98" s="256"/>
    </row>
    <row r="99" spans="1:24" ht="12.75" customHeight="1">
      <c r="A99" s="253" t="s">
        <v>225</v>
      </c>
      <c r="B99" s="253"/>
      <c r="C99" s="254"/>
      <c r="D99" s="254"/>
      <c r="E99" s="254"/>
      <c r="F99" s="254"/>
      <c r="G99" s="254"/>
      <c r="H99" s="254"/>
      <c r="I99" s="254"/>
      <c r="J99" s="254"/>
      <c r="K99" s="254"/>
      <c r="L99" s="254"/>
      <c r="M99" s="254"/>
      <c r="N99" s="254"/>
      <c r="O99" s="254"/>
      <c r="P99" s="254"/>
      <c r="Q99" s="254"/>
      <c r="R99" s="254"/>
      <c r="S99" s="254"/>
      <c r="T99" s="254"/>
      <c r="U99" s="254"/>
      <c r="V99" s="254"/>
      <c r="W99" s="254"/>
      <c r="X99" s="254"/>
    </row>
    <row r="100" spans="1:24" ht="12.75" customHeight="1">
      <c r="A100" s="253" t="s">
        <v>226</v>
      </c>
      <c r="B100" s="253"/>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row>
    <row r="101" spans="1:24" ht="12.75">
      <c r="A101" s="253" t="s">
        <v>227</v>
      </c>
      <c r="B101" s="253"/>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0.2034</v>
      </c>
    </row>
    <row r="109" spans="1:19" ht="12.75">
      <c r="A109"/>
      <c r="E109"/>
      <c r="F109"/>
      <c r="G109" s="31"/>
      <c r="H109" s="31"/>
      <c r="L109" s="82" t="s">
        <v>133</v>
      </c>
      <c r="P109" s="31"/>
      <c r="S109" s="208">
        <f ca="1">U38</f>
        <v>0.2034</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38" t="str">
        <f>A28</f>
        <v>Nº OPERAÇÃO</v>
      </c>
      <c r="B220" s="240"/>
      <c r="C220" s="238" t="str">
        <f>C28</f>
        <v>GESTOR</v>
      </c>
      <c r="D220" s="239"/>
      <c r="E220" s="240"/>
      <c r="F220" s="238" t="str">
        <f>F28</f>
        <v>PROGRAMA</v>
      </c>
      <c r="G220" s="239"/>
      <c r="H220" s="239"/>
      <c r="I220" s="240"/>
      <c r="J220" s="238" t="str">
        <f>J28</f>
        <v>AÇÃO / MODALIDADE</v>
      </c>
      <c r="K220" s="239"/>
      <c r="L220" s="239"/>
      <c r="M220" s="239"/>
      <c r="N220" s="239"/>
      <c r="O220" s="240"/>
      <c r="P220" s="238" t="str">
        <f>P28</f>
        <v>OBJETO</v>
      </c>
      <c r="Q220" s="239"/>
      <c r="R220" s="239"/>
      <c r="S220" s="239"/>
      <c r="T220" s="239"/>
      <c r="U220" s="239"/>
      <c r="V220" s="239"/>
      <c r="W220" s="239"/>
      <c r="X220" s="240"/>
    </row>
    <row r="221" spans="1:24" ht="12.75" customHeight="1">
      <c r="A221" s="235" t="str">
        <f>IF(A29="","",A29)</f>
        <v/>
      </c>
      <c r="B221" s="237"/>
      <c r="C221" s="235" t="str">
        <f>IF(C29="","",C29)</f>
        <v/>
      </c>
      <c r="D221" s="236"/>
      <c r="E221" s="237"/>
      <c r="F221" s="235" t="str">
        <f>IF(F29="","",F29)</f>
        <v/>
      </c>
      <c r="G221" s="236"/>
      <c r="H221" s="236"/>
      <c r="I221" s="237"/>
      <c r="J221" s="235" t="str">
        <f>IF(J29="","",J29)</f>
        <v>CONSTRUÇÃO DE CTG</v>
      </c>
      <c r="K221" s="236"/>
      <c r="L221" s="236" t="e">
        <f>IF(#REF!="","",#REF!)</f>
        <v>#REF!</v>
      </c>
      <c r="M221" s="236"/>
      <c r="N221" s="236" t="e">
        <f>IF(#REF!="","",#REF!)</f>
        <v>#REF!</v>
      </c>
      <c r="O221" s="237"/>
      <c r="P221" s="235" t="str">
        <f>IF(P29="","",P29)</f>
        <v>CONSTRUÇÃO</v>
      </c>
      <c r="Q221" s="236"/>
      <c r="R221" s="236"/>
      <c r="S221" s="236"/>
      <c r="T221" s="236"/>
      <c r="U221" s="236"/>
      <c r="V221" s="236"/>
      <c r="W221" s="236"/>
      <c r="X221" s="237"/>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38" t="str">
        <f>A31</f>
        <v>PROPONENTE / TOMADOR</v>
      </c>
      <c r="B223" s="239"/>
      <c r="C223" s="239"/>
      <c r="D223" s="239"/>
      <c r="E223" s="239"/>
      <c r="F223" s="239"/>
      <c r="G223" s="238" t="str">
        <f>G31</f>
        <v>MUNICÍPIO / UF</v>
      </c>
      <c r="H223" s="239"/>
      <c r="I223" s="239"/>
      <c r="J223" s="240"/>
      <c r="K223" s="238" t="str">
        <f>K31</f>
        <v>LOCALIDADE / ENDEREÇO</v>
      </c>
      <c r="L223" s="239"/>
      <c r="M223" s="239"/>
      <c r="N223" s="239"/>
      <c r="O223" s="239"/>
      <c r="P223" s="240"/>
      <c r="Q223" s="238" t="str">
        <f>Q31</f>
        <v>APELIDO DO EMPREENDIMENTO</v>
      </c>
      <c r="R223" s="239"/>
      <c r="S223" s="239"/>
      <c r="T223" s="239"/>
      <c r="U223" s="239"/>
      <c r="V223" s="239"/>
      <c r="W223" s="239"/>
      <c r="X223" s="240"/>
    </row>
    <row r="224" spans="1:24" ht="12.75" customHeight="1">
      <c r="A224" s="267" t="str">
        <f>IF(A32="","",A32)</f>
        <v>MUNICÍPIO DE ENTRE RIOS DO SUL</v>
      </c>
      <c r="B224" s="268"/>
      <c r="C224" s="268"/>
      <c r="D224" s="268"/>
      <c r="E224" s="268"/>
      <c r="F224" s="268"/>
      <c r="G224" s="235" t="str">
        <f>IF(G32="","",G32)</f>
        <v>ENTRE RIOS DO SUL/RS</v>
      </c>
      <c r="H224" s="236" t="str">
        <f>IF(I32="","",I32)</f>
        <v/>
      </c>
      <c r="I224" s="236"/>
      <c r="J224" s="237" t="e">
        <f>IF(#REF!="","",#REF!)</f>
        <v>#REF!</v>
      </c>
      <c r="K224" s="235" t="str">
        <f>IF(K32="","",K32)</f>
        <v>CENTRO</v>
      </c>
      <c r="L224" s="236"/>
      <c r="M224" s="236"/>
      <c r="N224" s="236"/>
      <c r="O224" s="236"/>
      <c r="P224" s="237"/>
      <c r="Q224" s="235" t="str">
        <f>IF(Q32="","",Q32)</f>
        <v>CONSTRUÇÃO DE CTG</v>
      </c>
      <c r="R224" s="236"/>
      <c r="S224" s="236"/>
      <c r="T224" s="236"/>
      <c r="U224" s="236"/>
      <c r="V224" s="236"/>
      <c r="W224" s="236"/>
      <c r="X224" s="237"/>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38" t="str">
        <f>A37</f>
        <v>DATA BASE</v>
      </c>
      <c r="B226" s="240"/>
      <c r="C226" s="135" t="str">
        <f>C37</f>
        <v>DESON.</v>
      </c>
      <c r="D226" s="238" t="str">
        <f>D37</f>
        <v>LOCALIDADE DO SINAPI</v>
      </c>
      <c r="E226" s="239"/>
      <c r="F226" s="240"/>
      <c r="G226" s="238" t="str">
        <f>G37</f>
        <v>DESCRIÇÃO DO LOTE</v>
      </c>
      <c r="H226" s="239"/>
      <c r="I226" s="239"/>
      <c r="J226" s="239"/>
      <c r="K226" s="239"/>
      <c r="L226" s="239"/>
      <c r="M226" s="239"/>
      <c r="N226" s="239"/>
      <c r="O226" s="239"/>
      <c r="P226" s="239"/>
      <c r="Q226" s="239"/>
      <c r="R226" s="239"/>
      <c r="S226" s="240"/>
      <c r="T226" s="136" t="str">
        <f>T37</f>
        <v>BDI 1</v>
      </c>
      <c r="U226" s="136" t="str">
        <f>U37</f>
        <v>BDI 2</v>
      </c>
      <c r="V226" s="136" t="str">
        <f>V37</f>
        <v>BDI 3</v>
      </c>
      <c r="W226" s="136" t="str">
        <f>W37</f>
        <v>BDI 4</v>
      </c>
      <c r="X226" s="136" t="str">
        <f>X37</f>
        <v>BDI 5</v>
      </c>
    </row>
    <row r="227" spans="1:24" ht="12.75" customHeight="1" hidden="1">
      <c r="A227" s="274">
        <f>IF(A38="","",A38)</f>
        <v>45200</v>
      </c>
      <c r="B227" s="275"/>
      <c r="C227" s="137" t="str">
        <f aca="true" t="shared" si="0" ref="C227:X227">IF(C38="","",C38)</f>
        <v>Não</v>
      </c>
      <c r="D227" s="269" t="str">
        <f t="shared" si="0"/>
        <v>Porto Alegre / RS</v>
      </c>
      <c r="E227" s="273" t="str">
        <f t="shared" si="0"/>
        <v/>
      </c>
      <c r="F227" s="270" t="str">
        <f t="shared" si="0"/>
        <v/>
      </c>
      <c r="G227" s="269" t="str">
        <f t="shared" si="0"/>
        <v>CONSTRUÇÃO DO CENTRO DE TRADIÇOES GAUCHAS RECANTO DOS XIRUS</v>
      </c>
      <c r="H227" s="273" t="str">
        <f t="shared" si="0"/>
        <v/>
      </c>
      <c r="I227" s="273" t="str">
        <f t="shared" si="0"/>
        <v/>
      </c>
      <c r="J227" s="273" t="str">
        <f t="shared" si="0"/>
        <v/>
      </c>
      <c r="K227" s="273" t="str">
        <f t="shared" si="0"/>
        <v/>
      </c>
      <c r="L227" s="273" t="str">
        <f t="shared" si="0"/>
        <v/>
      </c>
      <c r="M227" s="273" t="str">
        <f t="shared" si="0"/>
        <v/>
      </c>
      <c r="N227" s="273" t="str">
        <f t="shared" si="0"/>
        <v/>
      </c>
      <c r="O227" s="273" t="str">
        <f t="shared" si="0"/>
        <v/>
      </c>
      <c r="P227" s="273" t="str">
        <f t="shared" si="0"/>
        <v/>
      </c>
      <c r="Q227" s="273" t="str">
        <f t="shared" si="0"/>
        <v/>
      </c>
      <c r="R227" s="273" t="str">
        <f t="shared" si="0"/>
        <v/>
      </c>
      <c r="S227" s="270" t="str">
        <f t="shared" si="0"/>
        <v/>
      </c>
      <c r="T227" s="139">
        <f ca="1" t="shared" si="0"/>
        <v>0.2034</v>
      </c>
      <c r="U227" s="96">
        <f ca="1" t="shared" si="0"/>
        <v>0.2034</v>
      </c>
      <c r="V227" s="96" t="str">
        <f ca="1" t="shared" si="0"/>
        <v/>
      </c>
      <c r="W227" s="96" t="str">
        <f ca="1" t="shared" si="0"/>
        <v/>
      </c>
      <c r="X227" s="96" t="str">
        <f ca="1" t="shared" si="0"/>
        <v/>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38" t="s">
        <v>87</v>
      </c>
      <c r="B229" s="240"/>
      <c r="C229" s="238" t="s">
        <v>163</v>
      </c>
      <c r="D229" s="239"/>
      <c r="E229" s="239"/>
      <c r="F229" s="239"/>
      <c r="G229" s="239"/>
      <c r="H229" s="238" t="s">
        <v>16</v>
      </c>
      <c r="I229" s="239"/>
      <c r="J229" s="134" t="s">
        <v>91</v>
      </c>
      <c r="K229" s="238" t="s">
        <v>88</v>
      </c>
      <c r="L229" s="239"/>
      <c r="M229" s="240"/>
      <c r="N229" s="134" t="s">
        <v>92</v>
      </c>
      <c r="O229" s="238" t="s">
        <v>93</v>
      </c>
      <c r="P229" s="239"/>
      <c r="Q229" s="239"/>
      <c r="R229" s="239"/>
      <c r="S229" s="239"/>
      <c r="T229" s="240"/>
      <c r="U229" s="249" t="s">
        <v>89</v>
      </c>
      <c r="V229" s="250"/>
      <c r="W229" s="249" t="s">
        <v>90</v>
      </c>
      <c r="X229" s="250"/>
    </row>
    <row r="230" spans="1:24" s="21" customFormat="1" ht="12.75" customHeight="1">
      <c r="A230" s="269" t="str">
        <f>IF(A43="","",A43)</f>
        <v/>
      </c>
      <c r="B230" s="270"/>
      <c r="C230" s="269" t="str">
        <f>IF(C43="","",C43)</f>
        <v/>
      </c>
      <c r="D230" s="273"/>
      <c r="E230" s="273" t="str">
        <f>IF(E43="","",E43)</f>
        <v/>
      </c>
      <c r="F230" s="273"/>
      <c r="G230" s="273" t="str">
        <f>IF(G43="","",G43)</f>
        <v/>
      </c>
      <c r="H230" s="259" t="str">
        <f>IF(H43="","",H43)</f>
        <v/>
      </c>
      <c r="I230" s="260" t="str">
        <f>IF(I43="","",I43)</f>
        <v/>
      </c>
      <c r="J230" s="138" t="str">
        <f>IF(J43="","",J43)</f>
        <v/>
      </c>
      <c r="K230" s="261" t="str">
        <f>IF(K43="","",K43)</f>
        <v/>
      </c>
      <c r="L230" s="263"/>
      <c r="M230" s="264" t="str">
        <f>IF(M43="","",M43)</f>
        <v/>
      </c>
      <c r="N230" s="140" t="str">
        <f>IF(N43="","",N43)</f>
        <v/>
      </c>
      <c r="O230" s="261" t="str">
        <f>IF(O43="","",O43)</f>
        <v/>
      </c>
      <c r="P230" s="262"/>
      <c r="Q230" s="262" t="str">
        <f>IF(Q43="","",Q43)</f>
        <v/>
      </c>
      <c r="R230" s="263"/>
      <c r="S230" s="263" t="str">
        <f>IF(S43="","",S43)</f>
        <v/>
      </c>
      <c r="T230" s="264"/>
      <c r="U230" s="271" t="str">
        <f>IF(U43="","",U43)</f>
        <v/>
      </c>
      <c r="V230" s="272"/>
      <c r="W230" s="265" t="str">
        <f>IF(W43="","",W43)</f>
        <v/>
      </c>
      <c r="X230" s="266"/>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1" customFormat="1" ht="12.75" customHeight="1" hidden="1"/>
    <row r="242" s="1" customFormat="1" ht="12.75" customHeight="1" hidden="1"/>
    <row r="243" s="1" customFormat="1" ht="12.75" customHeight="1" hidden="1"/>
    <row r="244" s="1" customFormat="1" ht="12.75" customHeight="1"/>
    <row r="245" s="1" customFormat="1" ht="6" customHeight="1"/>
    <row r="246" s="1" customFormat="1" ht="12.75" customHeight="1"/>
    <row r="247" s="1" customFormat="1" ht="12.75" customHeight="1"/>
    <row r="248" s="1" customFormat="1" ht="12.75" customHeight="1"/>
    <row r="249" s="1" customFormat="1" ht="12.75" customHeight="1"/>
    <row r="250" s="1" customFormat="1" ht="6" customHeight="1"/>
    <row r="251" s="1" customFormat="1" ht="12.75"/>
    <row r="252" s="1" customFormat="1" ht="12.75"/>
    <row r="253" s="1" customFormat="1" ht="12.75"/>
    <row r="254" s="1" customFormat="1" ht="12.75"/>
    <row r="255" s="1" customFormat="1" ht="12.75"/>
    <row r="256" s="1" customFormat="1" ht="12.75"/>
    <row r="257" s="1" customFormat="1" ht="12.75"/>
  </sheetData>
  <sheetProtection password="C95B" sheet="1" objects="1" scenarios="1"/>
  <mergeCells count="136">
    <mergeCell ref="J220:O220"/>
    <mergeCell ref="A99:X99"/>
    <mergeCell ref="A98:X98"/>
    <mergeCell ref="A97:X97"/>
    <mergeCell ref="A26:X26"/>
    <mergeCell ref="A28:B28"/>
    <mergeCell ref="A29:B29"/>
    <mergeCell ref="A69:X69"/>
    <mergeCell ref="A60:X60"/>
    <mergeCell ref="A62:X62"/>
    <mergeCell ref="A86:X86"/>
    <mergeCell ref="A35:X35"/>
    <mergeCell ref="D38:F38"/>
    <mergeCell ref="C42:G42"/>
    <mergeCell ref="H42:I42"/>
    <mergeCell ref="B56:E56"/>
    <mergeCell ref="G37:S37"/>
    <mergeCell ref="O42:T42"/>
    <mergeCell ref="D37:F37"/>
    <mergeCell ref="A43:B43"/>
    <mergeCell ref="A79:X79"/>
    <mergeCell ref="A82:X82"/>
    <mergeCell ref="A95:X95"/>
    <mergeCell ref="A10:X10"/>
    <mergeCell ref="A12:X12"/>
    <mergeCell ref="A16:X16"/>
    <mergeCell ref="A18:X18"/>
    <mergeCell ref="A22:I22"/>
    <mergeCell ref="A94:X94"/>
    <mergeCell ref="A92:X92"/>
    <mergeCell ref="A76:X76"/>
    <mergeCell ref="A84:X84"/>
    <mergeCell ref="A77:X77"/>
    <mergeCell ref="B57:E57"/>
    <mergeCell ref="A67:X67"/>
    <mergeCell ref="A88:X88"/>
    <mergeCell ref="A68:X68"/>
    <mergeCell ref="A78:X78"/>
    <mergeCell ref="A71:X71"/>
    <mergeCell ref="A72:X72"/>
    <mergeCell ref="B1:X2"/>
    <mergeCell ref="H56:K56"/>
    <mergeCell ref="W42:X42"/>
    <mergeCell ref="A37:B37"/>
    <mergeCell ref="A42:B42"/>
    <mergeCell ref="W43:X43"/>
    <mergeCell ref="O43:T43"/>
    <mergeCell ref="C43:G43"/>
    <mergeCell ref="K42:M42"/>
    <mergeCell ref="U43:V43"/>
    <mergeCell ref="B55:E55"/>
    <mergeCell ref="H54:K54"/>
    <mergeCell ref="K43:M43"/>
    <mergeCell ref="C28:E28"/>
    <mergeCell ref="F28:I28"/>
    <mergeCell ref="J28:O28"/>
    <mergeCell ref="P28:X28"/>
    <mergeCell ref="A38:B38"/>
    <mergeCell ref="U42:V42"/>
    <mergeCell ref="A4:X4"/>
    <mergeCell ref="A6:X6"/>
    <mergeCell ref="A8:X8"/>
    <mergeCell ref="A24:X24"/>
    <mergeCell ref="A14:X14"/>
    <mergeCell ref="C230:G230"/>
    <mergeCell ref="A48:C48"/>
    <mergeCell ref="H57:K57"/>
    <mergeCell ref="J29:O29"/>
    <mergeCell ref="B54:E54"/>
    <mergeCell ref="A65:X65"/>
    <mergeCell ref="H55:K55"/>
    <mergeCell ref="A45:X45"/>
    <mergeCell ref="A63:X63"/>
    <mergeCell ref="A50:X50"/>
    <mergeCell ref="C29:E29"/>
    <mergeCell ref="F29:I29"/>
    <mergeCell ref="P29:X29"/>
    <mergeCell ref="Q31:X31"/>
    <mergeCell ref="Q32:X32"/>
    <mergeCell ref="A31:F31"/>
    <mergeCell ref="A32:F32"/>
    <mergeCell ref="G31:J31"/>
    <mergeCell ref="A70:X70"/>
    <mergeCell ref="A40:X40"/>
    <mergeCell ref="G38:S38"/>
    <mergeCell ref="A100:X100"/>
    <mergeCell ref="A74:X74"/>
    <mergeCell ref="A81:X81"/>
    <mergeCell ref="H230:I230"/>
    <mergeCell ref="K224:P224"/>
    <mergeCell ref="Q223:X223"/>
    <mergeCell ref="D226:F226"/>
    <mergeCell ref="A229:B229"/>
    <mergeCell ref="C229:G229"/>
    <mergeCell ref="O230:T230"/>
    <mergeCell ref="H229:I229"/>
    <mergeCell ref="K229:M229"/>
    <mergeCell ref="O229:T229"/>
    <mergeCell ref="W230:X230"/>
    <mergeCell ref="Q224:X224"/>
    <mergeCell ref="A223:F223"/>
    <mergeCell ref="A224:F224"/>
    <mergeCell ref="G224:J224"/>
    <mergeCell ref="K223:P223"/>
    <mergeCell ref="A230:B230"/>
    <mergeCell ref="U230:V230"/>
    <mergeCell ref="K230:M230"/>
    <mergeCell ref="D227:F227"/>
    <mergeCell ref="G223:J223"/>
    <mergeCell ref="G227:S227"/>
    <mergeCell ref="A227:B227"/>
    <mergeCell ref="G226:S226"/>
    <mergeCell ref="C221:E221"/>
    <mergeCell ref="F220:I220"/>
    <mergeCell ref="F221:I221"/>
    <mergeCell ref="P220:X220"/>
    <mergeCell ref="P221:X221"/>
    <mergeCell ref="G32:J32"/>
    <mergeCell ref="K31:P31"/>
    <mergeCell ref="K32:P32"/>
    <mergeCell ref="W229:X229"/>
    <mergeCell ref="U229:V229"/>
    <mergeCell ref="H43:I43"/>
    <mergeCell ref="A85:X85"/>
    <mergeCell ref="A221:B221"/>
    <mergeCell ref="A80:X80"/>
    <mergeCell ref="A83:X83"/>
    <mergeCell ref="J221:O221"/>
    <mergeCell ref="C220:E220"/>
    <mergeCell ref="A87:X87"/>
    <mergeCell ref="A96:X96"/>
    <mergeCell ref="A101:X101"/>
    <mergeCell ref="A226:B226"/>
    <mergeCell ref="A220:B220"/>
    <mergeCell ref="A90:X90"/>
    <mergeCell ref="A93:X93"/>
  </mergeCells>
  <conditionalFormatting sqref="B54:E55 B56 B57:E57">
    <cfRule type="expression" priority="42" dxfId="187" stopIfTrue="1">
      <formula>$B54&lt;&gt;""</formula>
    </cfRule>
  </conditionalFormatting>
  <conditionalFormatting sqref="A48 H54:K54 H55:H56 H57:K57 A29:C29 J29 F29 A32 P29 G32 K32">
    <cfRule type="expression" priority="48" dxfId="187" stopIfTrue="1">
      <formula>A29&lt;&gt;""</formula>
    </cfRule>
  </conditionalFormatting>
  <conditionalFormatting sqref="G53:K54 G55:H56 G57:K57">
    <cfRule type="expression" priority="43" dxfId="717" stopIfTrue="1">
      <formula>$K$52&lt;&gt;"SIM"</formula>
    </cfRule>
  </conditionalFormatting>
  <conditionalFormatting sqref="A40:X43">
    <cfRule type="expression" priority="56" dxfId="123" stopIfTrue="1">
      <formula>OR(TipoOrçamento="BASE",TipoOrçamento="REPROGRAMADONPL")</formula>
    </cfRule>
    <cfRule type="expression" priority="57" dxfId="187" stopIfTrue="1">
      <formula>A40&lt;&gt;""</formula>
    </cfRule>
  </conditionalFormatting>
  <conditionalFormatting sqref="A35:X38">
    <cfRule type="expression" priority="58" dxfId="123" stopIfTrue="1">
      <formula>OR(TipoOrçamento="LICITADO",TipoOrçamento="REPROGRAMADOAC")</formula>
    </cfRule>
    <cfRule type="expression" priority="59" dxfId="187" stopIfTrue="1">
      <formula>A35&lt;&gt;""</formula>
    </cfRule>
  </conditionalFormatting>
  <conditionalFormatting sqref="Q32">
    <cfRule type="expression" priority="1" dxfId="187"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1"/>
  <headerFooter alignWithMargins="0">
    <oddHeader>&amp;L_</oddHeader>
    <oddFooter>&amp;L27.476 v007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rgb="FFFFFF00"/>
    <pageSetUpPr fitToPage="1"/>
  </sheetPr>
  <dimension ref="A1:AE60"/>
  <sheetViews>
    <sheetView showGridLines="0" zoomScaleSheetLayoutView="100" zoomScalePageLayoutView="70" workbookViewId="0" topLeftCell="I19">
      <selection activeCell="I50" sqref="I1:R50"/>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4" t="s">
        <v>150</v>
      </c>
      <c r="J4" s="246"/>
      <c r="K4" s="244" t="s">
        <v>173</v>
      </c>
      <c r="L4" s="245"/>
      <c r="M4" s="245"/>
      <c r="N4" s="245"/>
      <c r="O4" s="245"/>
      <c r="P4" s="245"/>
      <c r="Q4" s="245"/>
      <c r="R4" s="246"/>
    </row>
    <row r="5" spans="1:19" ht="12.75" customHeight="1">
      <c r="A5" s="52" t="str">
        <f>A4</f>
        <v>Construção e Reforma de Edifícios</v>
      </c>
      <c r="B5" s="54" t="s">
        <v>32</v>
      </c>
      <c r="C5" s="52" t="str">
        <f t="shared" si="0"/>
        <v>Construção e Reforma de Edifícios-DF</v>
      </c>
      <c r="E5" s="55">
        <v>0.0059</v>
      </c>
      <c r="F5" s="55">
        <v>0.0123</v>
      </c>
      <c r="G5" s="55">
        <v>0.0139</v>
      </c>
      <c r="I5" s="330">
        <f>DADOS!A29</f>
        <v>0</v>
      </c>
      <c r="J5" s="331"/>
      <c r="K5" s="332" t="str">
        <f>DADOS!A32</f>
        <v>MUNICÍPIO DE ENTRE RIOS DO SUL</v>
      </c>
      <c r="L5" s="333"/>
      <c r="M5" s="333"/>
      <c r="N5" s="333"/>
      <c r="O5" s="333"/>
      <c r="P5" s="333"/>
      <c r="Q5" s="333"/>
      <c r="R5" s="334"/>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4" t="s">
        <v>0</v>
      </c>
      <c r="J7" s="245"/>
      <c r="K7" s="245"/>
      <c r="L7" s="245"/>
      <c r="M7" s="245"/>
      <c r="N7" s="245"/>
      <c r="O7" s="245"/>
      <c r="P7" s="245"/>
      <c r="Q7" s="245"/>
      <c r="R7" s="246"/>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35" t="str">
        <f>DADOS!P29</f>
        <v>CONSTRUÇÃO</v>
      </c>
      <c r="J8" s="335"/>
      <c r="K8" s="335"/>
      <c r="L8" s="335"/>
      <c r="M8" s="335"/>
      <c r="N8" s="335"/>
      <c r="O8" s="335"/>
      <c r="P8" s="335"/>
      <c r="Q8" s="335"/>
      <c r="R8" s="335"/>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4" t="s">
        <v>35</v>
      </c>
      <c r="J10" s="245"/>
      <c r="K10" s="245"/>
      <c r="L10" s="245"/>
      <c r="M10" s="245"/>
      <c r="N10" s="245"/>
      <c r="O10" s="245"/>
      <c r="P10" s="245"/>
      <c r="Q10" s="244" t="s">
        <v>13</v>
      </c>
      <c r="R10" s="246"/>
    </row>
    <row r="11" spans="1:18" ht="12.75">
      <c r="A11" s="52" t="s">
        <v>34</v>
      </c>
      <c r="B11" s="54" t="s">
        <v>32</v>
      </c>
      <c r="C11" s="52" t="str">
        <f t="shared" si="0"/>
        <v>Construção de Praças Urbanas, Rodovias, Ferrovias e recapeamento e pavimentação de vias urbanas-DF</v>
      </c>
      <c r="E11" s="55">
        <v>0.0102</v>
      </c>
      <c r="F11" s="55">
        <v>0.0111</v>
      </c>
      <c r="G11" s="55">
        <v>0.0121</v>
      </c>
      <c r="I11" s="325" t="s">
        <v>28</v>
      </c>
      <c r="J11" s="326"/>
      <c r="K11" s="326"/>
      <c r="L11" s="326"/>
      <c r="M11" s="326"/>
      <c r="N11" s="326"/>
      <c r="O11" s="326"/>
      <c r="P11" s="327"/>
      <c r="Q11" s="328" t="str">
        <f>DADOS!$C$38</f>
        <v>Não</v>
      </c>
      <c r="R11" s="329"/>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17" t="s">
        <v>36</v>
      </c>
      <c r="J13" s="317"/>
      <c r="K13" s="317"/>
      <c r="L13" s="317"/>
      <c r="M13" s="317"/>
      <c r="N13" s="317"/>
      <c r="O13" s="317"/>
      <c r="P13" s="317"/>
      <c r="Q13" s="321">
        <v>1</v>
      </c>
      <c r="R13" s="321"/>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2" t="s">
        <v>38</v>
      </c>
      <c r="J14" s="322"/>
      <c r="K14" s="322"/>
      <c r="L14" s="322"/>
      <c r="M14" s="322"/>
      <c r="N14" s="322"/>
      <c r="O14" s="322"/>
      <c r="P14" s="322"/>
      <c r="Q14" s="321">
        <v>0.02</v>
      </c>
      <c r="R14" s="321"/>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20" t="s">
        <v>39</v>
      </c>
      <c r="J16" s="320"/>
      <c r="K16" s="320"/>
      <c r="L16" s="320"/>
      <c r="M16" s="320" t="s">
        <v>40</v>
      </c>
      <c r="N16" s="319" t="s">
        <v>41</v>
      </c>
      <c r="O16" s="319" t="s">
        <v>42</v>
      </c>
      <c r="P16" s="318" t="s">
        <v>43</v>
      </c>
      <c r="Q16" s="318" t="s">
        <v>44</v>
      </c>
      <c r="R16" s="323" t="s">
        <v>45</v>
      </c>
      <c r="T16" s="336" t="str">
        <f>IF(V27,"Para BDI fora do intervalo estatístico, deve ser apresentado Relatório Técnico Circunstanciado justificando a adoção do percentual de cada parcela do BDI.","")</f>
        <v/>
      </c>
      <c r="U16" s="336"/>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20"/>
      <c r="J17" s="320"/>
      <c r="K17" s="320"/>
      <c r="L17" s="320"/>
      <c r="M17" s="320"/>
      <c r="N17" s="319"/>
      <c r="O17" s="319"/>
      <c r="P17" s="318"/>
      <c r="Q17" s="318"/>
      <c r="R17" s="323"/>
      <c r="T17" s="336"/>
      <c r="U17" s="336"/>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38" t="str">
        <f>IF($I$11=$A$59,"Encargos Sociais incidentes sobre a mão de obra","Administração Central")</f>
        <v>Administração Central</v>
      </c>
      <c r="J18" s="338"/>
      <c r="K18" s="338"/>
      <c r="L18" s="338"/>
      <c r="M18" s="60" t="str">
        <f>IF($I$11=$A$59,"K1","AC")</f>
        <v>AC</v>
      </c>
      <c r="N18" s="61">
        <v>0.03</v>
      </c>
      <c r="O18" s="62" t="s">
        <v>46</v>
      </c>
      <c r="P18" s="63">
        <f>VLOOKUP(CONCATENATE(I$11,"-",M18),$C$2:$G$49,3,FALSE)</f>
        <v>0.03</v>
      </c>
      <c r="Q18" s="63">
        <f>VLOOKUP(CONCATENATE(I$11,"-",M18),$C$2:$G$49,4,FALSE)</f>
        <v>0.04</v>
      </c>
      <c r="R18" s="63">
        <f>VLOOKUP(CONCATENATE(I$11,"-",M18),$C$2:$G$49,5,FALSE)</f>
        <v>0.055</v>
      </c>
      <c r="T18" s="336"/>
      <c r="U18" s="336"/>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38" t="str">
        <f>IF($I$11=$A$59,"Administração Central da empresa ou consultoria - overhead","Seguro e Garantia")</f>
        <v>Seguro e Garantia</v>
      </c>
      <c r="J19" s="338"/>
      <c r="K19" s="338"/>
      <c r="L19" s="338"/>
      <c r="M19" s="60" t="str">
        <f>IF($I$11=$A$59,"K2","SG")</f>
        <v>SG</v>
      </c>
      <c r="N19" s="61">
        <v>0.008</v>
      </c>
      <c r="O19" s="62" t="s">
        <v>46</v>
      </c>
      <c r="P19" s="63">
        <f>VLOOKUP(CONCATENATE(I$11,"-",M19),$C$2:$G$49,3,FALSE)</f>
        <v>0.008</v>
      </c>
      <c r="Q19" s="63">
        <f>VLOOKUP(CONCATENATE(I$11,"-",M19),$C$2:$G$49,4,FALSE)</f>
        <v>0.008</v>
      </c>
      <c r="R19" s="63">
        <f>VLOOKUP(CONCATENATE(I$11,"-",M19),$C$2:$G$49,5,FALSE)</f>
        <v>0.01</v>
      </c>
      <c r="T19" s="336"/>
      <c r="U19" s="336"/>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38" t="str">
        <f>IF($I$11=$A$59,"","Risco")</f>
        <v>Risco</v>
      </c>
      <c r="J20" s="338"/>
      <c r="K20" s="338"/>
      <c r="L20" s="338"/>
      <c r="M20" s="60" t="str">
        <f>IF($I$11=$A$59,"","R")</f>
        <v>R</v>
      </c>
      <c r="N20" s="61">
        <v>0.0097</v>
      </c>
      <c r="O20" s="62" t="s">
        <v>46</v>
      </c>
      <c r="P20" s="63">
        <f>VLOOKUP(CONCATENATE(I$11,"-",M20),$C$2:$G$49,3,FALSE)</f>
        <v>0.0097</v>
      </c>
      <c r="Q20" s="63">
        <f>VLOOKUP(CONCATENATE(I$11,"-",M20),$C$2:$G$49,4,FALSE)</f>
        <v>0.0127</v>
      </c>
      <c r="R20" s="63">
        <f>VLOOKUP(CONCATENATE(I$11,"-",M20),$C$2:$G$49,5,FALSE)</f>
        <v>0.0127</v>
      </c>
      <c r="T20" s="336"/>
      <c r="U20" s="336"/>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38" t="str">
        <f>IF($I$11=$A$59,"","Despesas Financeiras")</f>
        <v>Despesas Financeiras</v>
      </c>
      <c r="J21" s="338"/>
      <c r="K21" s="338"/>
      <c r="L21" s="338"/>
      <c r="M21" s="60" t="str">
        <f>IF($I$11=$A$59,"","DF")</f>
        <v>DF</v>
      </c>
      <c r="N21" s="61">
        <v>0.0059</v>
      </c>
      <c r="O21" s="62" t="s">
        <v>46</v>
      </c>
      <c r="P21" s="63">
        <f>VLOOKUP(CONCATENATE(I$11,"-",M21),$C$2:$G$49,3,FALSE)</f>
        <v>0.0059</v>
      </c>
      <c r="Q21" s="63">
        <f>VLOOKUP(CONCATENATE(I$11,"-",M21),$C$2:$G$49,4,FALSE)</f>
        <v>0.0123</v>
      </c>
      <c r="R21" s="63">
        <f>VLOOKUP(CONCATENATE(I$11,"-",M21),$C$2:$G$49,5,FALSE)</f>
        <v>0.0139</v>
      </c>
      <c r="T21" s="336"/>
      <c r="U21" s="336"/>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38" t="str">
        <f>IF($I$11=$A$59,"Margem bruta da empresa de consultoria","Lucro")</f>
        <v>Lucro</v>
      </c>
      <c r="J22" s="338"/>
      <c r="K22" s="338"/>
      <c r="L22" s="338"/>
      <c r="M22" s="60" t="str">
        <f>IF($I$11=$A$59,"K3","L")</f>
        <v>L</v>
      </c>
      <c r="N22" s="61">
        <v>0.0774</v>
      </c>
      <c r="O22" s="62" t="s">
        <v>46</v>
      </c>
      <c r="P22" s="63">
        <f>VLOOKUP(CONCATENATE(I$11,"-",M22),$C$2:$G$49,3,FALSE)</f>
        <v>0.0616</v>
      </c>
      <c r="Q22" s="63">
        <f>VLOOKUP(CONCATENATE(I$11,"-",M22),$C$2:$G$49,4,FALSE)</f>
        <v>0.07400000000000001</v>
      </c>
      <c r="R22" s="63">
        <f>VLOOKUP(CONCATENATE(I$11,"-",M22),$C$2:$G$49,5,FALSE)</f>
        <v>0.08960000000000001</v>
      </c>
      <c r="T22" s="336"/>
      <c r="U22" s="336"/>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9" t="s">
        <v>48</v>
      </c>
      <c r="J23" s="339"/>
      <c r="K23" s="339"/>
      <c r="L23" s="339"/>
      <c r="M23" s="60" t="s">
        <v>49</v>
      </c>
      <c r="N23" s="61">
        <v>0.0365</v>
      </c>
      <c r="O23" s="62" t="s">
        <v>46</v>
      </c>
      <c r="P23" s="63">
        <v>0.0365</v>
      </c>
      <c r="Q23" s="63">
        <v>0.0365</v>
      </c>
      <c r="R23" s="63">
        <v>0.0365</v>
      </c>
      <c r="T23" s="336"/>
      <c r="U23" s="336"/>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38" t="s">
        <v>50</v>
      </c>
      <c r="J24" s="338"/>
      <c r="K24" s="338"/>
      <c r="L24" s="338"/>
      <c r="M24" s="60" t="s">
        <v>51</v>
      </c>
      <c r="N24" s="63">
        <f>IF($I$11&lt;&gt;$A$58,Q14*Q13,0)</f>
        <v>0.02</v>
      </c>
      <c r="O24" s="62" t="s">
        <v>46</v>
      </c>
      <c r="P24" s="63">
        <v>0</v>
      </c>
      <c r="Q24" s="63">
        <v>0.025</v>
      </c>
      <c r="R24" s="63">
        <v>0.05</v>
      </c>
      <c r="T24" s="336"/>
      <c r="U24" s="336"/>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38" t="s">
        <v>116</v>
      </c>
      <c r="J25" s="338"/>
      <c r="K25" s="338"/>
      <c r="L25" s="338"/>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38" t="s">
        <v>53</v>
      </c>
      <c r="J26" s="338"/>
      <c r="K26" s="338"/>
      <c r="L26" s="338"/>
      <c r="M26" s="65" t="s">
        <v>33</v>
      </c>
      <c r="N26" s="63">
        <f>IF($I$11=$A$58,0,ROUND((((1+N18+N19+N20)*(1+N21)*(1+N22)/(1-(N23+N24)))-1),4))</f>
        <v>0.2034</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48" t="s">
        <v>55</v>
      </c>
      <c r="J27" s="348"/>
      <c r="K27" s="348"/>
      <c r="L27" s="348"/>
      <c r="M27" s="66" t="s">
        <v>56</v>
      </c>
      <c r="N27" s="67">
        <f>IF($I$11=$A$58,0,ROUND((((1+N18+N19+N20)*(1+N21)*(1+N22)/(1-(N23+N24+N25)))-1),4))</f>
        <v>0.2034</v>
      </c>
      <c r="O27" s="110" t="str">
        <f>IF(Q11&lt;&gt;"Sim","",O26)</f>
        <v/>
      </c>
      <c r="P27" s="349"/>
      <c r="Q27" s="349"/>
      <c r="R27" s="349"/>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47" t="s">
        <v>117</v>
      </c>
      <c r="K29" s="347"/>
      <c r="L29" s="347"/>
      <c r="M29" s="347"/>
      <c r="N29" s="347"/>
      <c r="O29" s="347"/>
      <c r="P29" s="347"/>
      <c r="Q29" s="347"/>
      <c r="R29" s="347"/>
      <c r="V29" s="111" t="b">
        <v>0</v>
      </c>
      <c r="W29" s="52" t="s">
        <v>119</v>
      </c>
    </row>
    <row r="30" spans="2:22" ht="7.5" customHeight="1">
      <c r="B30" s="54"/>
      <c r="E30" s="55"/>
      <c r="F30" s="55"/>
      <c r="G30" s="55"/>
      <c r="V30" s="111"/>
    </row>
    <row r="31" spans="2:18" ht="18.75" customHeight="1">
      <c r="B31" s="54"/>
      <c r="E31" s="55"/>
      <c r="F31" s="55"/>
      <c r="G31" s="55"/>
      <c r="I31" s="350" t="s">
        <v>61</v>
      </c>
      <c r="J31" s="350"/>
      <c r="K31" s="350"/>
      <c r="L31" s="350"/>
      <c r="M31" s="350"/>
      <c r="N31" s="350"/>
      <c r="O31" s="350"/>
      <c r="P31" s="350"/>
      <c r="Q31" s="350"/>
      <c r="R31" s="350"/>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4" t="str">
        <f>IF(Q11="Sim","BDI.DES =","BDI.PAD =")</f>
        <v>BDI.PAD =</v>
      </c>
      <c r="M32" s="342" t="str">
        <f>IF($I$11=$A$59,"(1+K1+K2)*(1+K3)","(1+AC + S + R + G)*(1 + DF)*(1+L)")</f>
        <v>(1+AC + S + R + G)*(1 + DF)*(1+L)</v>
      </c>
      <c r="N32" s="342"/>
      <c r="O32" s="342"/>
      <c r="P32" s="340"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44"/>
      <c r="M33" s="343" t="str">
        <f>IF(Q11="Sim","(1-CP-ISS-CRPB)","(1-CP-ISS)")</f>
        <v>(1-CP-ISS)</v>
      </c>
      <c r="N33" s="343"/>
      <c r="O33" s="343"/>
      <c r="P33" s="341"/>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4"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v>
      </c>
      <c r="J35" s="324"/>
      <c r="K35" s="324"/>
      <c r="L35" s="324"/>
      <c r="M35" s="324"/>
      <c r="N35" s="324"/>
      <c r="O35" s="324"/>
      <c r="P35" s="324"/>
      <c r="Q35" s="324"/>
      <c r="R35" s="324"/>
    </row>
    <row r="36" spans="2:7" ht="11.25" customHeight="1">
      <c r="B36" s="59"/>
      <c r="E36" s="55"/>
      <c r="F36" s="55"/>
      <c r="G36" s="55"/>
    </row>
    <row r="37" spans="2:18" ht="52.5" customHeight="1">
      <c r="B37" s="59"/>
      <c r="E37" s="55"/>
      <c r="F37" s="55"/>
      <c r="G37" s="55"/>
      <c r="I37" s="324"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4"/>
      <c r="K37" s="324"/>
      <c r="L37" s="324"/>
      <c r="M37" s="324"/>
      <c r="N37" s="324"/>
      <c r="O37" s="324"/>
      <c r="P37" s="324"/>
      <c r="Q37" s="324"/>
      <c r="R37" s="324"/>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2"/>
      <c r="J40" s="353"/>
      <c r="K40" s="353"/>
      <c r="L40" s="353"/>
      <c r="M40" s="353"/>
      <c r="N40" s="353"/>
      <c r="O40" s="353"/>
      <c r="P40" s="353"/>
      <c r="Q40" s="353"/>
      <c r="R40" s="354"/>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37" t="str">
        <f>PO!K145</f>
        <v>ENTRE RIOS DO SUL/RS</v>
      </c>
      <c r="J42" s="337"/>
      <c r="K42" s="337"/>
      <c r="L42" s="337"/>
      <c r="O42" s="345" t="str">
        <f>PO!K148</f>
        <v>20 de dezembro de 2023</v>
      </c>
      <c r="P42" s="345"/>
      <c r="Q42" s="345"/>
      <c r="R42" s="345"/>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51" t="s">
        <v>120</v>
      </c>
      <c r="J43" s="351"/>
      <c r="K43" s="351"/>
      <c r="L43" s="351"/>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16"/>
      <c r="J45" s="316"/>
      <c r="K45" s="316"/>
      <c r="L45" s="316"/>
      <c r="M45" s="69"/>
      <c r="N45" s="69"/>
      <c r="O45" s="316"/>
      <c r="P45" s="316"/>
      <c r="Q45" s="316"/>
      <c r="R45" s="316"/>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5" t="s">
        <v>57</v>
      </c>
      <c r="J46" s="355"/>
      <c r="K46" s="355"/>
      <c r="L46" s="355"/>
      <c r="M46" s="70"/>
      <c r="N46" s="70"/>
      <c r="O46" s="355" t="s">
        <v>58</v>
      </c>
      <c r="P46" s="355"/>
      <c r="Q46" s="355"/>
      <c r="R46" s="355"/>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46">
        <f>DADOS!B54</f>
        <v>0</v>
      </c>
      <c r="K47" s="346"/>
      <c r="L47" s="346"/>
      <c r="M47" s="71"/>
      <c r="N47" s="71"/>
      <c r="O47" s="29" t="s">
        <v>140</v>
      </c>
      <c r="P47" s="315" t="s">
        <v>320</v>
      </c>
      <c r="Q47" s="315"/>
      <c r="R47" s="315"/>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46">
        <f>DADOS!B55</f>
        <v>0</v>
      </c>
      <c r="K48" s="346"/>
      <c r="L48" s="346"/>
      <c r="M48" s="71"/>
      <c r="N48" s="71"/>
      <c r="O48" s="29" t="s">
        <v>60</v>
      </c>
      <c r="P48" s="315" t="s">
        <v>232</v>
      </c>
      <c r="Q48" s="315"/>
      <c r="R48" s="315"/>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46">
        <f>DADOS!B56</f>
        <v>0</v>
      </c>
      <c r="K49" s="346"/>
      <c r="L49" s="346"/>
      <c r="M49" s="71"/>
      <c r="N49" s="71"/>
      <c r="O49" s="71"/>
      <c r="P49" s="71"/>
      <c r="Q49" s="71"/>
      <c r="R49" s="71"/>
    </row>
    <row r="50" spans="9:12" ht="12.75">
      <c r="I50" s="29" t="str">
        <f>DADOS!A57</f>
        <v>CNPJ:</v>
      </c>
      <c r="J50" s="346">
        <f>DADOS!B57</f>
        <v>0</v>
      </c>
      <c r="K50" s="346"/>
      <c r="L50" s="34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J50:L50"/>
    <mergeCell ref="J29:R29"/>
    <mergeCell ref="I26:L26"/>
    <mergeCell ref="I27:L27"/>
    <mergeCell ref="P27:R27"/>
    <mergeCell ref="O45:R45"/>
    <mergeCell ref="I31:R31"/>
    <mergeCell ref="I35:R35"/>
    <mergeCell ref="I43:L43"/>
    <mergeCell ref="J49:L49"/>
    <mergeCell ref="I40:R40"/>
    <mergeCell ref="I46:L46"/>
    <mergeCell ref="O46:R46"/>
    <mergeCell ref="J47:L47"/>
    <mergeCell ref="P47:R47"/>
    <mergeCell ref="J48:L48"/>
    <mergeCell ref="T16:U24"/>
    <mergeCell ref="I42:L42"/>
    <mergeCell ref="I18:L18"/>
    <mergeCell ref="I19:L19"/>
    <mergeCell ref="I20:L20"/>
    <mergeCell ref="I21:L21"/>
    <mergeCell ref="I22:L22"/>
    <mergeCell ref="I23:L23"/>
    <mergeCell ref="I24:L24"/>
    <mergeCell ref="I25:L25"/>
    <mergeCell ref="M16:M17"/>
    <mergeCell ref="P32:P33"/>
    <mergeCell ref="M32:O32"/>
    <mergeCell ref="M33:O33"/>
    <mergeCell ref="L32:L33"/>
    <mergeCell ref="O42:R42"/>
    <mergeCell ref="I11:P11"/>
    <mergeCell ref="Q11:R11"/>
    <mergeCell ref="I4:J4"/>
    <mergeCell ref="K4:R4"/>
    <mergeCell ref="I5:J5"/>
    <mergeCell ref="K5:R5"/>
    <mergeCell ref="I7:R7"/>
    <mergeCell ref="I8:R8"/>
    <mergeCell ref="I10:P10"/>
    <mergeCell ref="Q10:R10"/>
    <mergeCell ref="P48:R48"/>
    <mergeCell ref="I45:L45"/>
    <mergeCell ref="I13:P13"/>
    <mergeCell ref="P16:P17"/>
    <mergeCell ref="Q16:Q17"/>
    <mergeCell ref="N16:N17"/>
    <mergeCell ref="I16:L17"/>
    <mergeCell ref="O16:O17"/>
    <mergeCell ref="Q13:R13"/>
    <mergeCell ref="I14:P14"/>
    <mergeCell ref="Q14:R14"/>
    <mergeCell ref="R16:R17"/>
    <mergeCell ref="I37:R37"/>
  </mergeCells>
  <conditionalFormatting sqref="O42">
    <cfRule type="expression" priority="6" dxfId="696" stopIfTrue="1">
      <formula>$O$42=""</formula>
    </cfRule>
  </conditionalFormatting>
  <conditionalFormatting sqref="O18:O27">
    <cfRule type="expression" priority="11" dxfId="701" stopIfTrue="1">
      <formula>AND(O18&lt;&gt;"OK",O18&lt;&gt;"-",O18&lt;&gt;"")</formula>
    </cfRule>
    <cfRule type="cellIs" priority="12" dxfId="700" operator="equal" stopIfTrue="1">
      <formula>"OK"</formula>
    </cfRule>
  </conditionalFormatting>
  <conditionalFormatting sqref="I26:N26">
    <cfRule type="expression" priority="10" dxfId="699" stopIfTrue="1">
      <formula>$Q$11="Não"</formula>
    </cfRule>
  </conditionalFormatting>
  <conditionalFormatting sqref="I27:N27">
    <cfRule type="expression" priority="9" dxfId="698" stopIfTrue="1">
      <formula>$Q$11="sim"</formula>
    </cfRule>
  </conditionalFormatting>
  <conditionalFormatting sqref="P27:R27">
    <cfRule type="expression" priority="8" dxfId="697" stopIfTrue="1">
      <formula>$Q$11="sim"</formula>
    </cfRule>
  </conditionalFormatting>
  <conditionalFormatting sqref="P47:R48">
    <cfRule type="expression" priority="7" dxfId="696" stopIfTrue="1">
      <formula>P47=""</formula>
    </cfRule>
  </conditionalFormatting>
  <conditionalFormatting sqref="I29:R29">
    <cfRule type="expression" priority="3" dxfId="695" stopIfTrue="1">
      <formula>AND(NOT($V$27),NOT($V$29))</formula>
    </cfRule>
  </conditionalFormatting>
  <conditionalFormatting sqref="P18:R26">
    <cfRule type="expression" priority="2" dxfId="694" stopIfTrue="1">
      <formula>$I$11=$A$58</formula>
    </cfRule>
  </conditionalFormatting>
  <dataValidations count="6" xWindow="717" yWindow="510">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v007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tabColor rgb="FFFFFF00"/>
    <pageSetUpPr fitToPage="1"/>
  </sheetPr>
  <dimension ref="A1:AE60"/>
  <sheetViews>
    <sheetView showGridLines="0" zoomScaleSheetLayoutView="100" zoomScalePageLayoutView="70" workbookViewId="0" topLeftCell="I13">
      <selection activeCell="P24" sqref="P24"/>
    </sheetView>
  </sheetViews>
  <sheetFormatPr defaultColWidth="0" defaultRowHeight="12.75" customHeight="1"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2</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4" t="s">
        <v>150</v>
      </c>
      <c r="J4" s="246"/>
      <c r="K4" s="244" t="s">
        <v>173</v>
      </c>
      <c r="L4" s="245"/>
      <c r="M4" s="245"/>
      <c r="N4" s="245"/>
      <c r="O4" s="245"/>
      <c r="P4" s="245"/>
      <c r="Q4" s="245"/>
      <c r="R4" s="246"/>
    </row>
    <row r="5" spans="1:19" ht="12.75" customHeight="1">
      <c r="A5" s="52" t="str">
        <f>A4</f>
        <v>Construção e Reforma de Edifícios</v>
      </c>
      <c r="B5" s="54" t="s">
        <v>32</v>
      </c>
      <c r="C5" s="52" t="str">
        <f t="shared" si="0"/>
        <v>Construção e Reforma de Edifícios-DF</v>
      </c>
      <c r="E5" s="55">
        <v>0.0059</v>
      </c>
      <c r="F5" s="55">
        <v>0.0123</v>
      </c>
      <c r="G5" s="55">
        <v>0.0139</v>
      </c>
      <c r="I5" s="330">
        <f>DADOS!A29</f>
        <v>0</v>
      </c>
      <c r="J5" s="331"/>
      <c r="K5" s="332" t="str">
        <f>DADOS!A32</f>
        <v>MUNICÍPIO DE ENTRE RIOS DO SUL</v>
      </c>
      <c r="L5" s="333"/>
      <c r="M5" s="333"/>
      <c r="N5" s="333"/>
      <c r="O5" s="333"/>
      <c r="P5" s="333"/>
      <c r="Q5" s="333"/>
      <c r="R5" s="334"/>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4" t="s">
        <v>0</v>
      </c>
      <c r="J7" s="245"/>
      <c r="K7" s="245"/>
      <c r="L7" s="245"/>
      <c r="M7" s="245"/>
      <c r="N7" s="245"/>
      <c r="O7" s="245"/>
      <c r="P7" s="245"/>
      <c r="Q7" s="245"/>
      <c r="R7" s="246"/>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35" t="str">
        <f>DADOS!P29</f>
        <v>CONSTRUÇÃO</v>
      </c>
      <c r="J8" s="335"/>
      <c r="K8" s="335"/>
      <c r="L8" s="335"/>
      <c r="M8" s="335"/>
      <c r="N8" s="335"/>
      <c r="O8" s="335"/>
      <c r="P8" s="335"/>
      <c r="Q8" s="335"/>
      <c r="R8" s="335"/>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4" t="s">
        <v>35</v>
      </c>
      <c r="J10" s="245"/>
      <c r="K10" s="245"/>
      <c r="L10" s="245"/>
      <c r="M10" s="245"/>
      <c r="N10" s="245"/>
      <c r="O10" s="245"/>
      <c r="P10" s="245"/>
      <c r="Q10" s="244" t="s">
        <v>13</v>
      </c>
      <c r="R10" s="246"/>
    </row>
    <row r="11" spans="1:18" ht="12.75">
      <c r="A11" s="52" t="s">
        <v>34</v>
      </c>
      <c r="B11" s="54" t="s">
        <v>32</v>
      </c>
      <c r="C11" s="52" t="str">
        <f t="shared" si="0"/>
        <v>Construção de Praças Urbanas, Rodovias, Ferrovias e recapeamento e pavimentação de vias urbanas-DF</v>
      </c>
      <c r="E11" s="55">
        <v>0.0102</v>
      </c>
      <c r="F11" s="55">
        <v>0.0111</v>
      </c>
      <c r="G11" s="55">
        <v>0.0121</v>
      </c>
      <c r="I11" s="325" t="s">
        <v>28</v>
      </c>
      <c r="J11" s="326"/>
      <c r="K11" s="326"/>
      <c r="L11" s="326"/>
      <c r="M11" s="326"/>
      <c r="N11" s="326"/>
      <c r="O11" s="326"/>
      <c r="P11" s="327"/>
      <c r="Q11" s="328" t="str">
        <f>DADOS!$C$38</f>
        <v>Não</v>
      </c>
      <c r="R11" s="329"/>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17" t="s">
        <v>36</v>
      </c>
      <c r="J13" s="317"/>
      <c r="K13" s="317"/>
      <c r="L13" s="317"/>
      <c r="M13" s="317"/>
      <c r="N13" s="317"/>
      <c r="O13" s="317"/>
      <c r="P13" s="317"/>
      <c r="Q13" s="321">
        <v>1</v>
      </c>
      <c r="R13" s="321"/>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2" t="s">
        <v>38</v>
      </c>
      <c r="J14" s="322"/>
      <c r="K14" s="322"/>
      <c r="L14" s="322"/>
      <c r="M14" s="322"/>
      <c r="N14" s="322"/>
      <c r="O14" s="322"/>
      <c r="P14" s="322"/>
      <c r="Q14" s="321">
        <v>0.02</v>
      </c>
      <c r="R14" s="321"/>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20" t="s">
        <v>39</v>
      </c>
      <c r="J16" s="320"/>
      <c r="K16" s="320"/>
      <c r="L16" s="320"/>
      <c r="M16" s="320" t="s">
        <v>40</v>
      </c>
      <c r="N16" s="319" t="s">
        <v>41</v>
      </c>
      <c r="O16" s="319" t="s">
        <v>42</v>
      </c>
      <c r="P16" s="318" t="s">
        <v>43</v>
      </c>
      <c r="Q16" s="318" t="s">
        <v>44</v>
      </c>
      <c r="R16" s="323" t="s">
        <v>45</v>
      </c>
      <c r="T16" s="336" t="str">
        <f>IF(V27,"Para BDI fora do intervalo estatístico, deve ser apresentado Relatório Técnico Circunstanciado justificando a adoção do percentual de cada parcela do BDI.","")</f>
        <v/>
      </c>
      <c r="U16" s="336"/>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20"/>
      <c r="J17" s="320"/>
      <c r="K17" s="320"/>
      <c r="L17" s="320"/>
      <c r="M17" s="320"/>
      <c r="N17" s="319"/>
      <c r="O17" s="319"/>
      <c r="P17" s="318"/>
      <c r="Q17" s="318"/>
      <c r="R17" s="323"/>
      <c r="T17" s="336"/>
      <c r="U17" s="336"/>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38" t="str">
        <f>IF($I$11=$A$59,"Encargos Sociais incidentes sobre a mão de obra","Administração Central")</f>
        <v>Administração Central</v>
      </c>
      <c r="J18" s="338"/>
      <c r="K18" s="338"/>
      <c r="L18" s="338"/>
      <c r="M18" s="60" t="str">
        <f>IF($I$11=$A$59,"K1","AC")</f>
        <v>AC</v>
      </c>
      <c r="N18" s="61">
        <v>0.038</v>
      </c>
      <c r="O18" s="62" t="s">
        <v>46</v>
      </c>
      <c r="P18" s="63">
        <f>VLOOKUP(CONCATENATE(I$11,"-",M18),$C$2:$G$49,3,FALSE)</f>
        <v>0.03</v>
      </c>
      <c r="Q18" s="63">
        <f>VLOOKUP(CONCATENATE(I$11,"-",M18),$C$2:$G$49,4,FALSE)</f>
        <v>0.04</v>
      </c>
      <c r="R18" s="63">
        <f>VLOOKUP(CONCATENATE(I$11,"-",M18),$C$2:$G$49,5,FALSE)</f>
        <v>0.055</v>
      </c>
      <c r="T18" s="336"/>
      <c r="U18" s="336"/>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38" t="str">
        <f>IF($I$11=$A$59,"Administração Central da empresa ou consultoria - overhead","Seguro e Garantia")</f>
        <v>Seguro e Garantia</v>
      </c>
      <c r="J19" s="338"/>
      <c r="K19" s="338"/>
      <c r="L19" s="338"/>
      <c r="M19" s="60" t="str">
        <f>IF($I$11=$A$59,"K2","SG")</f>
        <v>SG</v>
      </c>
      <c r="N19" s="61">
        <v>0.008</v>
      </c>
      <c r="O19" s="62" t="s">
        <v>46</v>
      </c>
      <c r="P19" s="63">
        <f>VLOOKUP(CONCATENATE(I$11,"-",M19),$C$2:$G$49,3,FALSE)</f>
        <v>0.008</v>
      </c>
      <c r="Q19" s="63">
        <f>VLOOKUP(CONCATENATE(I$11,"-",M19),$C$2:$G$49,4,FALSE)</f>
        <v>0.008</v>
      </c>
      <c r="R19" s="63">
        <f>VLOOKUP(CONCATENATE(I$11,"-",M19),$C$2:$G$49,5,FALSE)</f>
        <v>0.01</v>
      </c>
      <c r="T19" s="336"/>
      <c r="U19" s="336"/>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38" t="str">
        <f>IF($I$11=$A$59,"","Risco")</f>
        <v>Risco</v>
      </c>
      <c r="J20" s="338"/>
      <c r="K20" s="338"/>
      <c r="L20" s="338"/>
      <c r="M20" s="60" t="str">
        <f>IF($I$11=$A$59,"","R")</f>
        <v>R</v>
      </c>
      <c r="N20" s="61">
        <v>0.0097</v>
      </c>
      <c r="O20" s="62" t="s">
        <v>46</v>
      </c>
      <c r="P20" s="63">
        <f>VLOOKUP(CONCATENATE(I$11,"-",M20),$C$2:$G$49,3,FALSE)</f>
        <v>0.0097</v>
      </c>
      <c r="Q20" s="63">
        <f>VLOOKUP(CONCATENATE(I$11,"-",M20),$C$2:$G$49,4,FALSE)</f>
        <v>0.0127</v>
      </c>
      <c r="R20" s="63">
        <f>VLOOKUP(CONCATENATE(I$11,"-",M20),$C$2:$G$49,5,FALSE)</f>
        <v>0.0127</v>
      </c>
      <c r="T20" s="336"/>
      <c r="U20" s="336"/>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38" t="str">
        <f>IF($I$11=$A$59,"","Despesas Financeiras")</f>
        <v>Despesas Financeiras</v>
      </c>
      <c r="J21" s="338"/>
      <c r="K21" s="338"/>
      <c r="L21" s="338"/>
      <c r="M21" s="60" t="str">
        <f>IF($I$11=$A$59,"","DF")</f>
        <v>DF</v>
      </c>
      <c r="N21" s="61">
        <v>0.0073</v>
      </c>
      <c r="O21" s="62" t="s">
        <v>46</v>
      </c>
      <c r="P21" s="63">
        <f>VLOOKUP(CONCATENATE(I$11,"-",M21),$C$2:$G$49,3,FALSE)</f>
        <v>0.0059</v>
      </c>
      <c r="Q21" s="63">
        <f>VLOOKUP(CONCATENATE(I$11,"-",M21),$C$2:$G$49,4,FALSE)</f>
        <v>0.0123</v>
      </c>
      <c r="R21" s="63">
        <f>VLOOKUP(CONCATENATE(I$11,"-",M21),$C$2:$G$49,5,FALSE)</f>
        <v>0.0139</v>
      </c>
      <c r="T21" s="336"/>
      <c r="U21" s="336"/>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38" t="str">
        <f>IF($I$11=$A$59,"Margem bruta da empresa de consultoria","Lucro")</f>
        <v>Lucro</v>
      </c>
      <c r="J22" s="338"/>
      <c r="K22" s="338"/>
      <c r="L22" s="338"/>
      <c r="M22" s="60" t="str">
        <f>IF($I$11=$A$59,"K3","L")</f>
        <v>L</v>
      </c>
      <c r="N22" s="61">
        <v>0.0677</v>
      </c>
      <c r="O22" s="62" t="s">
        <v>46</v>
      </c>
      <c r="P22" s="63">
        <f>VLOOKUP(CONCATENATE(I$11,"-",M22),$C$2:$G$49,3,FALSE)</f>
        <v>0.0616</v>
      </c>
      <c r="Q22" s="63">
        <f>VLOOKUP(CONCATENATE(I$11,"-",M22),$C$2:$G$49,4,FALSE)</f>
        <v>0.07400000000000001</v>
      </c>
      <c r="R22" s="63">
        <f>VLOOKUP(CONCATENATE(I$11,"-",M22),$C$2:$G$49,5,FALSE)</f>
        <v>0.08960000000000001</v>
      </c>
      <c r="T22" s="336"/>
      <c r="U22" s="336"/>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9" t="s">
        <v>48</v>
      </c>
      <c r="J23" s="339"/>
      <c r="K23" s="339"/>
      <c r="L23" s="339"/>
      <c r="M23" s="60" t="s">
        <v>49</v>
      </c>
      <c r="N23" s="61">
        <v>0.0365</v>
      </c>
      <c r="O23" s="62" t="s">
        <v>46</v>
      </c>
      <c r="P23" s="63">
        <v>0.0365</v>
      </c>
      <c r="Q23" s="63">
        <v>0.0365</v>
      </c>
      <c r="R23" s="63">
        <v>0.0365</v>
      </c>
      <c r="T23" s="336"/>
      <c r="U23" s="336"/>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38" t="s">
        <v>50</v>
      </c>
      <c r="J24" s="338"/>
      <c r="K24" s="338"/>
      <c r="L24" s="338"/>
      <c r="M24" s="60" t="s">
        <v>51</v>
      </c>
      <c r="N24" s="63">
        <f>IF($I$11&lt;&gt;$A$58,Q14*Q13,0)</f>
        <v>0.02</v>
      </c>
      <c r="O24" s="62" t="s">
        <v>46</v>
      </c>
      <c r="P24" s="63">
        <v>0</v>
      </c>
      <c r="Q24" s="63">
        <v>0.025</v>
      </c>
      <c r="R24" s="63">
        <v>0.05</v>
      </c>
      <c r="T24" s="336"/>
      <c r="U24" s="336"/>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38" t="s">
        <v>116</v>
      </c>
      <c r="J25" s="338"/>
      <c r="K25" s="338"/>
      <c r="L25" s="338"/>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38" t="s">
        <v>53</v>
      </c>
      <c r="J26" s="338"/>
      <c r="K26" s="338"/>
      <c r="L26" s="338"/>
      <c r="M26" s="65" t="s">
        <v>33</v>
      </c>
      <c r="N26" s="63">
        <f>IF($I$11=$A$58,0,ROUND((((1+N18+N19+N20)*(1+N21)*(1+N22)/(1-(N23+N24)))-1),4))</f>
        <v>0.2034</v>
      </c>
      <c r="O26" s="234"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48" t="s">
        <v>55</v>
      </c>
      <c r="J27" s="348"/>
      <c r="K27" s="348"/>
      <c r="L27" s="348"/>
      <c r="M27" s="66" t="s">
        <v>56</v>
      </c>
      <c r="N27" s="67">
        <f>IF($I$11=$A$58,0,ROUND((((1+N18+N19+N20)*(1+N21)*(1+N22)/(1-(N23+N24+N25)))-1),4))</f>
        <v>0.2034</v>
      </c>
      <c r="O27" s="110" t="str">
        <f>IF(Q11&lt;&gt;"Sim","",O26)</f>
        <v/>
      </c>
      <c r="P27" s="349"/>
      <c r="Q27" s="349"/>
      <c r="R27" s="349"/>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47" t="s">
        <v>117</v>
      </c>
      <c r="K29" s="347"/>
      <c r="L29" s="347"/>
      <c r="M29" s="347"/>
      <c r="N29" s="347"/>
      <c r="O29" s="347"/>
      <c r="P29" s="347"/>
      <c r="Q29" s="347"/>
      <c r="R29" s="347"/>
      <c r="V29" s="111" t="b">
        <v>0</v>
      </c>
      <c r="W29" s="52" t="s">
        <v>119</v>
      </c>
    </row>
    <row r="30" spans="2:22" ht="7.5" customHeight="1">
      <c r="B30" s="54"/>
      <c r="E30" s="55"/>
      <c r="F30" s="55"/>
      <c r="G30" s="55"/>
      <c r="V30" s="111"/>
    </row>
    <row r="31" spans="2:18" ht="18.75" customHeight="1">
      <c r="B31" s="54"/>
      <c r="E31" s="55"/>
      <c r="F31" s="55"/>
      <c r="G31" s="55"/>
      <c r="I31" s="350" t="s">
        <v>61</v>
      </c>
      <c r="J31" s="350"/>
      <c r="K31" s="350"/>
      <c r="L31" s="350"/>
      <c r="M31" s="350"/>
      <c r="N31" s="350"/>
      <c r="O31" s="350"/>
      <c r="P31" s="350"/>
      <c r="Q31" s="350"/>
      <c r="R31" s="350"/>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4" t="str">
        <f>IF(Q11="Sim","BDI.DES =","BDI.PAD =")</f>
        <v>BDI.PAD =</v>
      </c>
      <c r="M32" s="342" t="str">
        <f>IF($I$11=$A$59,"(1+K1+K2)*(1+K3)","(1+AC + S + R + G)*(1 + DF)*(1+L)")</f>
        <v>(1+AC + S + R + G)*(1 + DF)*(1+L)</v>
      </c>
      <c r="N32" s="342"/>
      <c r="O32" s="342"/>
      <c r="P32" s="340"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44"/>
      <c r="M33" s="343" t="str">
        <f>IF(Q11="Sim","(1-CP-ISS-CRPB)","(1-CP-ISS)")</f>
        <v>(1-CP-ISS)</v>
      </c>
      <c r="N33" s="343"/>
      <c r="O33" s="343"/>
      <c r="P33" s="341"/>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4"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v>
      </c>
      <c r="J35" s="324"/>
      <c r="K35" s="324"/>
      <c r="L35" s="324"/>
      <c r="M35" s="324"/>
      <c r="N35" s="324"/>
      <c r="O35" s="324"/>
      <c r="P35" s="324"/>
      <c r="Q35" s="324"/>
      <c r="R35" s="324"/>
    </row>
    <row r="36" spans="2:7" ht="11.25" customHeight="1">
      <c r="B36" s="59"/>
      <c r="E36" s="55"/>
      <c r="F36" s="55"/>
      <c r="G36" s="55"/>
    </row>
    <row r="37" spans="2:18" ht="52.5" customHeight="1">
      <c r="B37" s="59"/>
      <c r="E37" s="55"/>
      <c r="F37" s="55"/>
      <c r="G37" s="55"/>
      <c r="I37" s="324"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4"/>
      <c r="K37" s="324"/>
      <c r="L37" s="324"/>
      <c r="M37" s="324"/>
      <c r="N37" s="324"/>
      <c r="O37" s="324"/>
      <c r="P37" s="324"/>
      <c r="Q37" s="324"/>
      <c r="R37" s="324"/>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2"/>
      <c r="J40" s="353"/>
      <c r="K40" s="353"/>
      <c r="L40" s="353"/>
      <c r="M40" s="353"/>
      <c r="N40" s="353"/>
      <c r="O40" s="353"/>
      <c r="P40" s="353"/>
      <c r="Q40" s="353"/>
      <c r="R40" s="354"/>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37" t="str">
        <f>PO!K145</f>
        <v>ENTRE RIOS DO SUL/RS</v>
      </c>
      <c r="J42" s="337"/>
      <c r="K42" s="337"/>
      <c r="L42" s="337"/>
      <c r="O42" s="345" t="str">
        <f>PO!K148</f>
        <v>20 de dezembro de 2023</v>
      </c>
      <c r="P42" s="345"/>
      <c r="Q42" s="345"/>
      <c r="R42" s="345"/>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51" t="s">
        <v>120</v>
      </c>
      <c r="J43" s="351"/>
      <c r="K43" s="351"/>
      <c r="L43" s="351"/>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16"/>
      <c r="J45" s="316"/>
      <c r="K45" s="316"/>
      <c r="L45" s="316"/>
      <c r="M45" s="69"/>
      <c r="N45" s="69"/>
      <c r="O45" s="316"/>
      <c r="P45" s="316"/>
      <c r="Q45" s="316"/>
      <c r="R45" s="316"/>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5" t="s">
        <v>57</v>
      </c>
      <c r="J46" s="355"/>
      <c r="K46" s="355"/>
      <c r="L46" s="355"/>
      <c r="M46" s="70"/>
      <c r="N46" s="70"/>
      <c r="O46" s="355" t="s">
        <v>58</v>
      </c>
      <c r="P46" s="355"/>
      <c r="Q46" s="355"/>
      <c r="R46" s="355"/>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33" t="s">
        <v>140</v>
      </c>
      <c r="J47" s="346">
        <f>DADOS!B54</f>
        <v>0</v>
      </c>
      <c r="K47" s="346"/>
      <c r="L47" s="346"/>
      <c r="M47" s="71"/>
      <c r="N47" s="71"/>
      <c r="O47" s="233" t="s">
        <v>140</v>
      </c>
      <c r="P47" s="315" t="s">
        <v>230</v>
      </c>
      <c r="Q47" s="315"/>
      <c r="R47" s="315"/>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33" t="s">
        <v>17</v>
      </c>
      <c r="J48" s="346">
        <f>DADOS!B55</f>
        <v>0</v>
      </c>
      <c r="K48" s="346"/>
      <c r="L48" s="346"/>
      <c r="M48" s="71"/>
      <c r="N48" s="71"/>
      <c r="O48" s="233" t="s">
        <v>60</v>
      </c>
      <c r="P48" s="315" t="s">
        <v>232</v>
      </c>
      <c r="Q48" s="315"/>
      <c r="R48" s="315"/>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33" t="str">
        <f>DADOS!A56</f>
        <v>Empresa:</v>
      </c>
      <c r="J49" s="346">
        <f>DADOS!B56</f>
        <v>0</v>
      </c>
      <c r="K49" s="346"/>
      <c r="L49" s="346"/>
      <c r="M49" s="71"/>
      <c r="N49" s="71"/>
      <c r="O49" s="71"/>
      <c r="P49" s="71"/>
      <c r="Q49" s="71"/>
      <c r="R49" s="71"/>
    </row>
    <row r="50" spans="9:12" ht="12.75">
      <c r="I50" s="233" t="str">
        <f>DADOS!A57</f>
        <v>CNPJ:</v>
      </c>
      <c r="J50" s="346">
        <f>DADOS!B57</f>
        <v>0</v>
      </c>
      <c r="K50" s="346"/>
      <c r="L50" s="34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I8:R8"/>
    <mergeCell ref="I4:J4"/>
    <mergeCell ref="K4:R4"/>
    <mergeCell ref="I5:J5"/>
    <mergeCell ref="K5:R5"/>
    <mergeCell ref="I7:R7"/>
    <mergeCell ref="I10:P10"/>
    <mergeCell ref="Q10:R10"/>
    <mergeCell ref="I11:P11"/>
    <mergeCell ref="Q11:R11"/>
    <mergeCell ref="I13:P13"/>
    <mergeCell ref="Q13:R13"/>
    <mergeCell ref="I14:P14"/>
    <mergeCell ref="Q14:R14"/>
    <mergeCell ref="I16:L17"/>
    <mergeCell ref="M16:M17"/>
    <mergeCell ref="N16:N17"/>
    <mergeCell ref="O16:O17"/>
    <mergeCell ref="P16:P17"/>
    <mergeCell ref="Q16:Q17"/>
    <mergeCell ref="R16:R17"/>
    <mergeCell ref="T16:U24"/>
    <mergeCell ref="I18:L18"/>
    <mergeCell ref="I19:L19"/>
    <mergeCell ref="I20:L20"/>
    <mergeCell ref="I21:L21"/>
    <mergeCell ref="I22:L22"/>
    <mergeCell ref="I23:L23"/>
    <mergeCell ref="I24:L24"/>
    <mergeCell ref="I37:R37"/>
    <mergeCell ref="I25:L25"/>
    <mergeCell ref="I26:L26"/>
    <mergeCell ref="I27:L27"/>
    <mergeCell ref="P27:R27"/>
    <mergeCell ref="J29:R29"/>
    <mergeCell ref="I31:R31"/>
    <mergeCell ref="L32:L33"/>
    <mergeCell ref="M32:O32"/>
    <mergeCell ref="P32:P33"/>
    <mergeCell ref="M33:O33"/>
    <mergeCell ref="I35:R35"/>
    <mergeCell ref="I40:R40"/>
    <mergeCell ref="I42:L42"/>
    <mergeCell ref="O42:R42"/>
    <mergeCell ref="I43:L43"/>
    <mergeCell ref="I45:L45"/>
    <mergeCell ref="O45:R45"/>
    <mergeCell ref="J49:L49"/>
    <mergeCell ref="J50:L50"/>
    <mergeCell ref="I46:L46"/>
    <mergeCell ref="O46:R46"/>
    <mergeCell ref="J47:L47"/>
    <mergeCell ref="P47:R47"/>
    <mergeCell ref="J48:L48"/>
    <mergeCell ref="P48:R48"/>
  </mergeCells>
  <conditionalFormatting sqref="O42">
    <cfRule type="expression" priority="3" dxfId="696" stopIfTrue="1">
      <formula>$O$42=""</formula>
    </cfRule>
  </conditionalFormatting>
  <conditionalFormatting sqref="O18:O27">
    <cfRule type="expression" priority="8" dxfId="701" stopIfTrue="1">
      <formula>AND(O18&lt;&gt;"OK",O18&lt;&gt;"-",O18&lt;&gt;"")</formula>
    </cfRule>
    <cfRule type="cellIs" priority="9" dxfId="700" operator="equal" stopIfTrue="1">
      <formula>"OK"</formula>
    </cfRule>
  </conditionalFormatting>
  <conditionalFormatting sqref="I26:N26">
    <cfRule type="expression" priority="7" dxfId="699" stopIfTrue="1">
      <formula>$Q$11="Não"</formula>
    </cfRule>
  </conditionalFormatting>
  <conditionalFormatting sqref="I27:N27">
    <cfRule type="expression" priority="6" dxfId="698" stopIfTrue="1">
      <formula>$Q$11="sim"</formula>
    </cfRule>
  </conditionalFormatting>
  <conditionalFormatting sqref="P27:R27">
    <cfRule type="expression" priority="5" dxfId="697" stopIfTrue="1">
      <formula>$Q$11="sim"</formula>
    </cfRule>
  </conditionalFormatting>
  <conditionalFormatting sqref="P47:R48">
    <cfRule type="expression" priority="4" dxfId="696" stopIfTrue="1">
      <formula>P47=""</formula>
    </cfRule>
  </conditionalFormatting>
  <conditionalFormatting sqref="I29:R29">
    <cfRule type="expression" priority="2" dxfId="695" stopIfTrue="1">
      <formula>AND(NOT($V$27),NOT($V$29))</formula>
    </cfRule>
  </conditionalFormatting>
  <conditionalFormatting sqref="P18:R26">
    <cfRule type="expression" priority="1" dxfId="694" stopIfTrue="1">
      <formula>$I$11=$A$58</formula>
    </cfRule>
  </conditionalFormatting>
  <dataValidations count="6">
    <dataValidation type="decimal" allowBlank="1" showInputMessage="1" showErrorMessage="1" errorTitle="Erro de valores" error="Digite um valor entre 0% e 100%" sqref="N18:N2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allowBlank="1" showInputMessage="1" showErrorMessage="1" errorTitle="Erro de valores" error="Digite um valor maior do que 0." sqref="N24">
      <formula1>0</formula1>
      <formula2>1</formula2>
    </dataValidation>
    <dataValidation operator="greaterThanOrEqual" allowBlank="1" showInputMessage="1" showErrorMessage="1" errorTitle="Erro de valores" error="Digite um valor igual a 0% ou 2%." sqref="N25"/>
    <dataValidation type="list" allowBlank="1" showInputMessage="1" showErrorMessage="1" sqref="I11:P11">
      <formula1>$A$52:$A$59</formula1>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v007   micro&amp;R&amp;P</oddFooter>
  </headerFooter>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FFFF00"/>
    <pageSetUpPr fitToPage="1"/>
  </sheetPr>
  <dimension ref="A1:AA149"/>
  <sheetViews>
    <sheetView showGridLines="0" tabSelected="1" zoomScale="80" zoomScaleNormal="80" zoomScaleSheetLayoutView="100" workbookViewId="0" topLeftCell="J1">
      <pane ySplit="12" topLeftCell="A154" activePane="bottomLeft" state="frozen"/>
      <selection pane="bottomLeft" activeCell="Y13" sqref="Y13:Y133"/>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5"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6" t="s">
        <v>181</v>
      </c>
      <c r="X2" s="356"/>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5"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5" customHeight="1">
      <c r="A5" s="9">
        <f>MAX($A$12:$A$134)</f>
        <v>2</v>
      </c>
      <c r="B5" s="4"/>
      <c r="D5" s="117"/>
      <c r="F5" s="5"/>
      <c r="G5" s="4"/>
      <c r="H5" s="4"/>
      <c r="I5" s="4"/>
      <c r="J5" s="4"/>
      <c r="K5" s="4"/>
      <c r="L5" s="4"/>
      <c r="M5" s="4"/>
      <c r="N5" s="4"/>
      <c r="O5" s="4"/>
      <c r="P5" s="4"/>
      <c r="Q5" s="4"/>
      <c r="R5" s="4"/>
      <c r="S5" s="4"/>
      <c r="T5" s="4"/>
      <c r="U5" s="119" t="str">
        <f ca="1">IF(COUNTIF($U$12:OFFSET($U$134,-1,0),"DESCRIÇÃO")+COUNTIF($U$12:OFFSET($U$134,-1,0),"UNIDADE")+COUNTIF($U$12:OFFSET($U$134,-1,0),"SEM VALOR")&gt;0,"NÃO OK","OK")</f>
        <v>NÃO OK</v>
      </c>
      <c r="V5" s="212" t="s">
        <v>106</v>
      </c>
      <c r="W5" s="211" t="s">
        <v>183</v>
      </c>
      <c r="X5" s="214" t="b">
        <v>1</v>
      </c>
      <c r="Y5" s="4"/>
      <c r="Z5" s="4"/>
      <c r="AA5" s="4"/>
    </row>
    <row r="6" spans="1:27" ht="24.95"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95"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customHeight="1"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IF(OR($A11="S",$A11=0),0,MATCH(0,OFFSET($B11,1,$A11,ROW($A$134)-ROW($A11)),0))</f>
        <v>0</v>
      </c>
      <c r="I11">
        <f ca="1">IF(OR($A11="S",$A11=0),0,MATCH(OFFSET($B11,0,$A11)+1,OFFSET($B11,1,$A11,ROW($A$134)-ROW($A11)),0))</f>
        <v>0</v>
      </c>
      <c r="J11" s="120" t="s">
        <v>103</v>
      </c>
      <c r="K11" s="162" t="e">
        <f ca="1">IF($A11=0,"-",CONCATENATE(C11&amp;".",IF(AND($A$5&gt;=2,$A11&gt;=2),D11&amp;".",""),IF(AND($A$5&gt;=3,$A11&gt;=3),E11&amp;".",""),IF(AND($A$5&gt;=4,$A11&gt;=4),F11&amp;".",""),IF($A11="S",G11&amp;".","")))</f>
        <v>#VALUE!</v>
      </c>
      <c r="L11" s="209"/>
      <c r="M11" s="209"/>
      <c r="N11" s="231" t="str">
        <f ca="1">IF($A11="S",Referencia.Descricao,"(digite a descrição aqui)")</f>
        <v/>
      </c>
      <c r="O11" s="230" t="str">
        <f ca="1">Referencia.Unidade</f>
        <v/>
      </c>
      <c r="P11" s="225">
        <f ca="1">OFFSET(PLQ!$E$12,ROW($P11)-ROW(P$12),0)</f>
        <v>0</v>
      </c>
      <c r="Q11" s="229"/>
      <c r="R11" s="232" t="s">
        <v>7</v>
      </c>
      <c r="S11" s="121">
        <f>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0.2034</v>
      </c>
      <c r="AA11" s="4"/>
    </row>
    <row r="12" spans="1:27" ht="12.75">
      <c r="A12">
        <v>0</v>
      </c>
      <c r="B12">
        <f ca="1">COUNTA(OFFSET(B12,1,0):B$134)</f>
        <v>121</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SUMIF(OFFSET($J12,1,0,ROW(T134)-ROW(T12)-1),"Serviço",OFFSET(T12,1,0,ROW(T134)-ROW(T12)-1))</f>
        <v>0</v>
      </c>
      <c r="U12" s="13" t="str">
        <f>IF($N12=0,"DESCRIÇÃO","")</f>
        <v>DESCRIÇÃO</v>
      </c>
      <c r="V12" s="4">
        <v>0</v>
      </c>
      <c r="W12" s="4"/>
      <c r="X12" s="4"/>
      <c r="Y12" s="11"/>
      <c r="Z12" s="133"/>
      <c r="AA12" s="4"/>
    </row>
    <row r="13" spans="1:27" ht="12.75">
      <c r="A13">
        <f aca="true" t="shared" si="0" ref="A13:A100">CHOOSE(1+LOG(1+2*(J13="Meta")+4*(J13="Nível 2")+8*(J13="Nível 3")+16*(J13="Nível 4")+32*(J13="Serviço"),2),0,1,2,3,4,"S")</f>
        <v>1</v>
      </c>
      <c r="B13">
        <f aca="true" t="shared" si="1" ref="B13:B100">IF(OR(A13="S",A13=0),0,IF(ISERROR(I13),H13,SMALL(H13:I13,1)))</f>
        <v>3</v>
      </c>
      <c r="C13">
        <f aca="true" ca="1" t="shared" si="2" ref="C13:C100">IF($A13=1,OFFSET(C13,-1,0)+1,OFFSET(C13,-1,0))</f>
        <v>1</v>
      </c>
      <c r="D13">
        <f aca="true" ca="1" t="shared" si="3" ref="D13:D100">IF($A13=1,0,IF($A13=2,OFFSET(D13,-1,0)+1,OFFSET(D13,-1,0)))</f>
        <v>0</v>
      </c>
      <c r="E13">
        <f aca="true" ca="1" t="shared" si="4" ref="E13:E100">IF(AND($A13&lt;=2,$A13&lt;&gt;0),0,IF($A13=3,OFFSET(E13,-1,0)+1,OFFSET(E13,-1,0)))</f>
        <v>0</v>
      </c>
      <c r="F13">
        <f aca="true" ca="1" t="shared" si="5" ref="F13:F100">IF(AND($A13&lt;=3,$A13&lt;&gt;0),0,IF($A13=4,OFFSET(F13,-1,0)+1,OFFSET(F13,-1,0)))</f>
        <v>0</v>
      </c>
      <c r="G13">
        <f aca="true" ca="1" t="shared" si="6" ref="G13:G100">IF(AND($A13&lt;=4,$A13&lt;&gt;0),0,IF($A13="S",OFFSET(G13,-1,0)+1,OFFSET(G13,-1,0)))</f>
        <v>0</v>
      </c>
      <c r="H13">
        <f aca="true" ca="1" t="shared" si="7" ref="H13:H57">IF(OR($A13="S",$A13=0),0,MATCH(0,OFFSET($B13,1,$A13,ROW($A$134)-ROW($A13)),0))</f>
        <v>121</v>
      </c>
      <c r="I13">
        <f aca="true" ca="1" t="shared" si="8" ref="I13:I57">IF(OR($A13="S",$A13=0),0,MATCH(OFFSET($B13,0,$A13)+1,OFFSET($B13,1,$A13,ROW($A$134)-ROW($A13)),0))</f>
        <v>3</v>
      </c>
      <c r="J13" s="164" t="s">
        <v>99</v>
      </c>
      <c r="K13" s="162" t="str">
        <f aca="true" t="shared" si="9" ref="K13:K100">IF($A13=0,"-",CONCATENATE(C13&amp;".",IF(AND($A$5&gt;=2,$A13&gt;=2),D13&amp;".",""),IF(AND($A$5&gt;=3,$A13&gt;=3),E13&amp;".",""),IF(AND($A$5&gt;=4,$A13&gt;=4),F13&amp;".",""),IF($A13="S",G13&amp;".","")))</f>
        <v>1.</v>
      </c>
      <c r="L13" s="395"/>
      <c r="M13" s="395"/>
      <c r="N13" s="398" t="s">
        <v>229</v>
      </c>
      <c r="O13" s="399"/>
      <c r="P13" s="225">
        <f ca="1">OFFSET(PLQ!$E$12,ROW($P13)-ROW(P$12),0)</f>
        <v>0</v>
      </c>
      <c r="Q13" s="229"/>
      <c r="R13" s="232"/>
      <c r="S13" s="121">
        <f aca="true" t="shared" si="10" ref="S13:S100">IF($A13="S",IF($Q$10="Preço Unitário (R$)",PO.CustoUnitario,ROUND(PO.CustoUnitario*(1+$Z13),15-13*$X$6)),0)</f>
        <v>0</v>
      </c>
      <c r="T13" s="98">
        <f aca="true" ca="1" t="shared" si="11" ref="T13:T100">IF($A13="S",VTOTAL1,IF($A13=0,0,ROUND(SomaAgrup,15-13*$X$7)))</f>
        <v>0</v>
      </c>
      <c r="U13" s="13" t="str">
        <f aca="true" t="shared" si="12" ref="U13:U100">IF($J13="","",IF($N13="","DESCRIÇÃO",IF(AND($J13="Serviço",$O13=""),"UNIDADE",IF($T13&lt;=0,"SEM VALOR",IF(AND($Y13&lt;&gt;"",$Q13&gt;$Y13),"ACIMA REF.","")))))</f>
        <v>SEM VALOR</v>
      </c>
      <c r="V13" s="4">
        <f ca="1">IF(OR($A13=0,$A13="S",$A13&gt;CFF!$A$9),"",MAX(V$12:OFFSET(V13,-1,0))+1)</f>
        <v>1</v>
      </c>
      <c r="W13" s="9" t="b">
        <f aca="true" t="shared" si="13" ref="W13:W100">IF(AND($J13="Serviço",$M13&lt;&gt;""),IF($L13="",$M13,CONCATENATE($L13,"-",$M13)))</f>
        <v>0</v>
      </c>
      <c r="X13" s="4" t="str">
        <f aca="true" t="shared" si="14" ref="X13:X100">IF(AND(Fonte&lt;&gt;"",Código&lt;&gt;""),MATCH(Fonte&amp;" "&amp;IF(Fonte="sinapi",SUBSTITUTE(SUBSTITUTE(Código,"/00","/"),"/0","/"),Código),INDIRECT("'[Referência "&amp;_XLNM.DATABASE&amp;".xls]Banco'!$a:$a"),0),"X")</f>
        <v>X</v>
      </c>
      <c r="Y13" s="121">
        <v>0</v>
      </c>
      <c r="Z13" s="132">
        <f>ROUND(IF(ISNUMBER(R13),R13,IF(LEFT(R13,3)="BDI",HLOOKUP(R13,DADOS!$T$37:$X$38,2,FALSE),0)),15-11*$X$5)</f>
        <v>0</v>
      </c>
      <c r="AA13" s="4"/>
    </row>
    <row r="14" spans="1:27" ht="12.75" customHeight="1">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394" t="s">
        <v>103</v>
      </c>
      <c r="K14" s="162" t="str">
        <f ca="1" t="shared" si="9"/>
        <v>1.0.1.</v>
      </c>
      <c r="L14" s="395" t="s">
        <v>239</v>
      </c>
      <c r="M14" s="395" t="s">
        <v>243</v>
      </c>
      <c r="N14" s="398" t="s">
        <v>246</v>
      </c>
      <c r="O14" s="399" t="s">
        <v>247</v>
      </c>
      <c r="P14" s="225">
        <f ca="1">OFFSET(PLQ!$E$12,ROW($P14)-ROW(P$12),0)</f>
        <v>4.5</v>
      </c>
      <c r="Q14" s="229"/>
      <c r="R14" s="232" t="s">
        <v>7</v>
      </c>
      <c r="S14" s="121">
        <f t="shared" si="10"/>
        <v>0</v>
      </c>
      <c r="T14" s="98">
        <f ca="1" t="shared" si="11"/>
        <v>0</v>
      </c>
      <c r="U14" s="13" t="str">
        <f ca="1" t="shared" si="12"/>
        <v>SEM VALOR</v>
      </c>
      <c r="V14" s="4" t="str">
        <f ca="1">IF(OR($A14=0,$A14="S",$A14&gt;CFF!$A$9),"",MAX(V$12:OFFSET(V14,-1,0))+1)</f>
        <v/>
      </c>
      <c r="W14" s="9" t="str">
        <f t="shared" si="13"/>
        <v>SINAPI-I-4813</v>
      </c>
      <c r="X14" s="4">
        <f ca="1" t="shared" si="14"/>
        <v>10984</v>
      </c>
      <c r="Y14" s="121">
        <v>300.85</v>
      </c>
      <c r="Z14" s="132">
        <f ca="1">ROUND(IF(ISNUMBER(R14),R14,IF(LEFT(R14,3)="BDI",HLOOKUP(R14,DADOS!$T$37:$X$38,2,FALSE),0)),15-11*$X$5)</f>
        <v>0.2034</v>
      </c>
      <c r="AA14" s="4"/>
    </row>
    <row r="15" spans="1:27" ht="12.75" customHeight="1">
      <c r="A15" t="str">
        <f t="shared" si="0"/>
        <v>S</v>
      </c>
      <c r="B15">
        <f t="shared" si="1"/>
        <v>0</v>
      </c>
      <c r="C15">
        <f ca="1" t="shared" si="2"/>
        <v>1</v>
      </c>
      <c r="D15">
        <f ca="1" t="shared" si="3"/>
        <v>0</v>
      </c>
      <c r="E15">
        <f ca="1" t="shared" si="4"/>
        <v>0</v>
      </c>
      <c r="F15">
        <f ca="1" t="shared" si="5"/>
        <v>0</v>
      </c>
      <c r="G15">
        <f ca="1" t="shared" si="6"/>
        <v>2</v>
      </c>
      <c r="H15">
        <f ca="1" t="shared" si="7"/>
        <v>0</v>
      </c>
      <c r="I15">
        <f ca="1" t="shared" si="8"/>
        <v>0</v>
      </c>
      <c r="J15" s="394" t="s">
        <v>103</v>
      </c>
      <c r="K15" s="162" t="str">
        <f ca="1" t="shared" si="9"/>
        <v>1.0.2.</v>
      </c>
      <c r="L15" s="395" t="s">
        <v>234</v>
      </c>
      <c r="M15" s="395" t="s">
        <v>259</v>
      </c>
      <c r="N15" s="398" t="s">
        <v>363</v>
      </c>
      <c r="O15" s="399" t="s">
        <v>447</v>
      </c>
      <c r="P15" s="225">
        <f ca="1">OFFSET(PLQ!$E$12,ROW($P15)-ROW(P$12),0)</f>
        <v>140</v>
      </c>
      <c r="Q15" s="229"/>
      <c r="R15" s="232" t="s">
        <v>7</v>
      </c>
      <c r="S15" s="121">
        <f t="shared" si="10"/>
        <v>0</v>
      </c>
      <c r="T15" s="98">
        <f ca="1" t="shared" si="11"/>
        <v>0</v>
      </c>
      <c r="U15" s="13" t="str">
        <f ca="1" t="shared" si="12"/>
        <v>SEM VALOR</v>
      </c>
      <c r="V15" s="4" t="str">
        <f ca="1">IF(OR($A15=0,$A15="S",$A15&gt;CFF!$A$9),"",MAX(V$12:OFFSET(V15,-1,0))+1)</f>
        <v/>
      </c>
      <c r="W15" s="9" t="str">
        <f t="shared" si="13"/>
        <v>SINAPI-99059</v>
      </c>
      <c r="X15" s="4">
        <f ca="1" t="shared" si="14"/>
        <v>6942</v>
      </c>
      <c r="Y15" s="121">
        <v>60.25</v>
      </c>
      <c r="Z15" s="132">
        <f ca="1">ROUND(IF(ISNUMBER(R15),R15,IF(LEFT(R15,3)="BDI",HLOOKUP(R15,DADOS!$T$37:$X$38,2,FALSE),0)),15-11*$X$5)</f>
        <v>0.2034</v>
      </c>
      <c r="AA15" s="4"/>
    </row>
    <row r="16" spans="1:27" ht="12.75" customHeight="1">
      <c r="A16">
        <f t="shared" si="0"/>
        <v>1</v>
      </c>
      <c r="B16">
        <f ca="1" t="shared" si="1"/>
        <v>21</v>
      </c>
      <c r="C16">
        <f ca="1" t="shared" si="2"/>
        <v>2</v>
      </c>
      <c r="D16">
        <f ca="1" t="shared" si="3"/>
        <v>0</v>
      </c>
      <c r="E16">
        <f ca="1" t="shared" si="4"/>
        <v>0</v>
      </c>
      <c r="F16">
        <f ca="1" t="shared" si="5"/>
        <v>0</v>
      </c>
      <c r="G16">
        <f ca="1" t="shared" si="6"/>
        <v>0</v>
      </c>
      <c r="H16">
        <f ca="1" t="shared" si="7"/>
        <v>118</v>
      </c>
      <c r="I16">
        <f ca="1" t="shared" si="8"/>
        <v>21</v>
      </c>
      <c r="J16" s="394" t="s">
        <v>99</v>
      </c>
      <c r="K16" s="162" t="str">
        <f ca="1" t="shared" si="9"/>
        <v>2.</v>
      </c>
      <c r="L16" s="395" t="s">
        <v>234</v>
      </c>
      <c r="M16" s="395"/>
      <c r="N16" s="398" t="s">
        <v>260</v>
      </c>
      <c r="O16" s="399" t="s">
        <v>106</v>
      </c>
      <c r="P16" s="225">
        <f ca="1">OFFSET(PLQ!$E$12,ROW($P16)-ROW(P$12),0)</f>
        <v>0</v>
      </c>
      <c r="Q16" s="229"/>
      <c r="R16" s="232" t="s">
        <v>7</v>
      </c>
      <c r="S16" s="121">
        <f t="shared" si="10"/>
        <v>0</v>
      </c>
      <c r="T16" s="98">
        <f ca="1" t="shared" si="11"/>
        <v>0</v>
      </c>
      <c r="U16" s="13" t="str">
        <f ca="1" t="shared" si="12"/>
        <v>SEM VALOR</v>
      </c>
      <c r="V16" s="4">
        <f ca="1">IF(OR($A16=0,$A16="S",$A16&gt;CFF!$A$9),"",MAX(V$12:OFFSET(V16,-1,0))+1)</f>
        <v>2</v>
      </c>
      <c r="W16" s="9" t="b">
        <f t="shared" si="13"/>
        <v>0</v>
      </c>
      <c r="X16" s="4" t="str">
        <f ca="1" t="shared" si="14"/>
        <v>X</v>
      </c>
      <c r="Y16" s="121">
        <v>0</v>
      </c>
      <c r="Z16" s="132">
        <f ca="1">ROUND(IF(ISNUMBER(R16),R16,IF(LEFT(R16,3)="BDI",HLOOKUP(R16,DADOS!$T$37:$X$38,2,FALSE),0)),15-11*$X$5)</f>
        <v>0.2034</v>
      </c>
      <c r="AA16" s="4"/>
    </row>
    <row r="17" spans="1:27" ht="12.75" customHeight="1">
      <c r="A17">
        <f t="shared" si="0"/>
        <v>2</v>
      </c>
      <c r="B17">
        <f ca="1" t="shared" si="1"/>
        <v>5</v>
      </c>
      <c r="C17">
        <f ca="1" t="shared" si="2"/>
        <v>2</v>
      </c>
      <c r="D17">
        <f ca="1" t="shared" si="3"/>
        <v>1</v>
      </c>
      <c r="E17">
        <f ca="1" t="shared" si="4"/>
        <v>0</v>
      </c>
      <c r="F17">
        <f ca="1" t="shared" si="5"/>
        <v>0</v>
      </c>
      <c r="G17">
        <f ca="1" t="shared" si="6"/>
        <v>0</v>
      </c>
      <c r="H17">
        <f ca="1" t="shared" si="7"/>
        <v>20</v>
      </c>
      <c r="I17">
        <f ca="1" t="shared" si="8"/>
        <v>5</v>
      </c>
      <c r="J17" s="394" t="s">
        <v>100</v>
      </c>
      <c r="K17" s="162" t="str">
        <f ca="1" t="shared" si="9"/>
        <v>2.1.</v>
      </c>
      <c r="L17" s="395"/>
      <c r="M17" s="395"/>
      <c r="N17" s="398" t="s">
        <v>236</v>
      </c>
      <c r="O17" s="399" t="s">
        <v>106</v>
      </c>
      <c r="P17" s="225">
        <f ca="1">OFFSET(PLQ!$E$12,ROW($P17)-ROW(P$12),0)</f>
        <v>0</v>
      </c>
      <c r="Q17" s="229"/>
      <c r="R17" s="232" t="s">
        <v>7</v>
      </c>
      <c r="S17" s="121">
        <f t="shared" si="10"/>
        <v>0</v>
      </c>
      <c r="T17" s="98">
        <f ca="1" t="shared" si="11"/>
        <v>0</v>
      </c>
      <c r="U17" s="13" t="str">
        <f ca="1" t="shared" si="12"/>
        <v>SEM VALOR</v>
      </c>
      <c r="V17" s="4">
        <f ca="1">IF(OR($A17=0,$A17="S",$A17&gt;CFF!$A$9),"",MAX(V$12:OFFSET(V17,-1,0))+1)</f>
        <v>3</v>
      </c>
      <c r="W17" s="9" t="b">
        <f t="shared" si="13"/>
        <v>0</v>
      </c>
      <c r="X17" s="4" t="str">
        <f ca="1" t="shared" si="14"/>
        <v>X</v>
      </c>
      <c r="Y17" s="121">
        <v>0</v>
      </c>
      <c r="Z17" s="132">
        <f ca="1">ROUND(IF(ISNUMBER(R17),R17,IF(LEFT(R17,3)="BDI",HLOOKUP(R17,DADOS!$T$37:$X$38,2,FALSE),0)),15-11*$X$5)</f>
        <v>0.2034</v>
      </c>
      <c r="AA17" s="4"/>
    </row>
    <row r="18" spans="1:27" ht="12.75" customHeight="1">
      <c r="A18" t="str">
        <f t="shared" si="0"/>
        <v>S</v>
      </c>
      <c r="B18">
        <f t="shared" si="1"/>
        <v>0</v>
      </c>
      <c r="C18">
        <f ca="1" t="shared" si="2"/>
        <v>2</v>
      </c>
      <c r="D18">
        <f ca="1" t="shared" si="3"/>
        <v>1</v>
      </c>
      <c r="E18">
        <f ca="1" t="shared" si="4"/>
        <v>0</v>
      </c>
      <c r="F18">
        <f ca="1" t="shared" si="5"/>
        <v>0</v>
      </c>
      <c r="G18">
        <f ca="1" t="shared" si="6"/>
        <v>1</v>
      </c>
      <c r="H18">
        <f ca="1" t="shared" si="7"/>
        <v>0</v>
      </c>
      <c r="I18">
        <f ca="1" t="shared" si="8"/>
        <v>0</v>
      </c>
      <c r="J18" s="394" t="s">
        <v>103</v>
      </c>
      <c r="K18" s="162" t="str">
        <f ca="1" t="shared" si="9"/>
        <v>2.1.1.</v>
      </c>
      <c r="L18" s="395" t="s">
        <v>234</v>
      </c>
      <c r="M18" s="395" t="s">
        <v>237</v>
      </c>
      <c r="N18" s="398" t="s">
        <v>364</v>
      </c>
      <c r="O18" s="399" t="s">
        <v>249</v>
      </c>
      <c r="P18" s="225">
        <f ca="1">OFFSET(PLQ!$E$12,ROW($P18)-ROW(P$12),0)</f>
        <v>8.95</v>
      </c>
      <c r="Q18" s="229"/>
      <c r="R18" s="232" t="s">
        <v>7</v>
      </c>
      <c r="S18" s="121">
        <f t="shared" si="10"/>
        <v>0</v>
      </c>
      <c r="T18" s="98">
        <f ca="1" t="shared" si="11"/>
        <v>0</v>
      </c>
      <c r="U18" s="13" t="str">
        <f ca="1" t="shared" si="12"/>
        <v>SEM VALOR</v>
      </c>
      <c r="V18" s="4" t="str">
        <f ca="1">IF(OR($A18=0,$A18="S",$A18&gt;CFF!$A$9),"",MAX(V$12:OFFSET(V18,-1,0))+1)</f>
        <v/>
      </c>
      <c r="W18" s="9" t="str">
        <f t="shared" si="13"/>
        <v>SINAPI-93358</v>
      </c>
      <c r="X18" s="4">
        <f ca="1" t="shared" si="14"/>
        <v>5685</v>
      </c>
      <c r="Y18" s="121">
        <v>104.64</v>
      </c>
      <c r="Z18" s="132">
        <f ca="1">ROUND(IF(ISNUMBER(R18),R18,IF(LEFT(R18,3)="BDI",HLOOKUP(R18,DADOS!$T$37:$X$38,2,FALSE),0)),15-11*$X$5)</f>
        <v>0.2034</v>
      </c>
      <c r="AA18" s="4"/>
    </row>
    <row r="19" spans="1:27" ht="12.75" customHeight="1">
      <c r="A19" t="str">
        <f>CHOOSE(1+LOG(1+2*(J19="Meta")+4*(J19="Nível 2")+8*(J19="Nível 3")+16*(J19="Nível 4")+32*(J19="Serviço"),2),0,1,2,3,4,"S")</f>
        <v>S</v>
      </c>
      <c r="B19">
        <f>IF(OR(A19="S",A19=0),0,IF(ISERROR(I19),H19,SMALL(H19:I19,1)))</f>
        <v>0</v>
      </c>
      <c r="C19">
        <f ca="1">IF($A19=1,OFFSET(C19,-1,0)+1,OFFSET(C19,-1,0))</f>
        <v>2</v>
      </c>
      <c r="D19">
        <f ca="1">IF($A19=1,0,IF($A19=2,OFFSET(D19,-1,0)+1,OFFSET(D19,-1,0)))</f>
        <v>1</v>
      </c>
      <c r="E19">
        <f ca="1">IF(AND($A19&lt;=2,$A19&lt;&gt;0),0,IF($A19=3,OFFSET(E19,-1,0)+1,OFFSET(E19,-1,0)))</f>
        <v>0</v>
      </c>
      <c r="F19">
        <f ca="1">IF(AND($A19&lt;=3,$A19&lt;&gt;0),0,IF($A19=4,OFFSET(F19,-1,0)+1,OFFSET(F19,-1,0)))</f>
        <v>0</v>
      </c>
      <c r="G19">
        <f ca="1">IF(AND($A19&lt;=4,$A19&lt;&gt;0),0,IF($A19="S",OFFSET(G19,-1,0)+1,OFFSET(G19,-1,0)))</f>
        <v>2</v>
      </c>
      <c r="H19">
        <f ca="1" t="shared" si="7"/>
        <v>0</v>
      </c>
      <c r="I19">
        <f ca="1" t="shared" si="8"/>
        <v>0</v>
      </c>
      <c r="J19" s="394" t="s">
        <v>103</v>
      </c>
      <c r="K19" s="162" t="str">
        <f ca="1">IF($A19=0,"-",CONCATENATE(C19&amp;".",IF(AND($A$5&gt;=2,$A19&gt;=2),D19&amp;".",""),IF(AND($A$5&gt;=3,$A19&gt;=3),E19&amp;".",""),IF(AND($A$5&gt;=4,$A19&gt;=4),F19&amp;".",""),IF($A19="S",G19&amp;".","")))</f>
        <v>2.1.2.</v>
      </c>
      <c r="L19" s="395" t="s">
        <v>234</v>
      </c>
      <c r="M19" s="395" t="s">
        <v>323</v>
      </c>
      <c r="N19" s="398" t="s">
        <v>365</v>
      </c>
      <c r="O19" s="399" t="s">
        <v>248</v>
      </c>
      <c r="P19" s="225">
        <f ca="1">OFFSET(PLQ!$E$12,ROW($P19)-ROW(P$12),0)</f>
        <v>25.56</v>
      </c>
      <c r="Q19" s="229"/>
      <c r="R19" s="232" t="s">
        <v>7</v>
      </c>
      <c r="S19" s="121">
        <f>IF($A19="S",IF($Q$10="Preço Unitário (R$)",PO.CustoUnitario,ROUND(PO.CustoUnitario*(1+$Z19),15-13*$X$6)),0)</f>
        <v>0</v>
      </c>
      <c r="T19" s="98">
        <f ca="1">IF($A19="S",VTOTAL1,IF($A19=0,0,ROUND(SomaAgrup,15-13*$X$7)))</f>
        <v>0</v>
      </c>
      <c r="U19" s="13" t="str">
        <f ca="1">IF($J19="","",IF($N19="","DESCRIÇÃO",IF(AND($J19="Serviço",$O19=""),"UNIDADE",IF($T19&lt;=0,"SEM VALOR",IF(AND($Y19&lt;&gt;"",$Q19&gt;$Y19),"ACIMA REF.","")))))</f>
        <v>SEM VALOR</v>
      </c>
      <c r="V19" s="4" t="str">
        <f ca="1">IF(OR($A19=0,$A19="S",$A19&gt;CFF!$A$9),"",MAX(V$12:OFFSET(V19,-1,0))+1)</f>
        <v/>
      </c>
      <c r="W19" s="9" t="str">
        <f>IF(AND($J19="Serviço",$M19&lt;&gt;""),IF($L19="",$M19,CONCATENATE($L19,"-",$M19)))</f>
        <v>SINAPI-95240</v>
      </c>
      <c r="X19" s="4">
        <f ca="1">IF(AND(Fonte&lt;&gt;"",Código&lt;&gt;""),MATCH(Fonte&amp;" "&amp;IF(Fonte="sinapi",SUBSTITUTE(SUBSTITUTE(Código,"/00","/"),"/0","/"),Código),INDIRECT("'[Referência "&amp;_XLNM.DATABASE&amp;".xls]Banco'!$a:$a"),0),"X")</f>
        <v>2196</v>
      </c>
      <c r="Y19" s="121">
        <v>21.82</v>
      </c>
      <c r="Z19" s="132">
        <f ca="1">ROUND(IF(ISNUMBER(R19),R19,IF(LEFT(R19,3)="BDI",HLOOKUP(R19,DADOS!$T$37:$X$38,2,FALSE),0)),15-11*$X$5)</f>
        <v>0.2034</v>
      </c>
      <c r="AA19" s="4"/>
    </row>
    <row r="20" spans="1:27" ht="12.75" customHeight="1">
      <c r="A20" t="str">
        <f t="shared" si="0"/>
        <v>S</v>
      </c>
      <c r="B20">
        <f t="shared" si="1"/>
        <v>0</v>
      </c>
      <c r="C20">
        <f ca="1" t="shared" si="2"/>
        <v>2</v>
      </c>
      <c r="D20">
        <f ca="1" t="shared" si="3"/>
        <v>1</v>
      </c>
      <c r="E20">
        <f ca="1" t="shared" si="4"/>
        <v>0</v>
      </c>
      <c r="F20">
        <f ca="1" t="shared" si="5"/>
        <v>0</v>
      </c>
      <c r="G20">
        <f ca="1" t="shared" si="6"/>
        <v>3</v>
      </c>
      <c r="H20">
        <f ca="1" t="shared" si="7"/>
        <v>0</v>
      </c>
      <c r="I20">
        <f ca="1" t="shared" si="8"/>
        <v>0</v>
      </c>
      <c r="J20" s="394" t="s">
        <v>103</v>
      </c>
      <c r="K20" s="162" t="str">
        <f ca="1" t="shared" si="9"/>
        <v>2.1.3.</v>
      </c>
      <c r="L20" s="395" t="s">
        <v>234</v>
      </c>
      <c r="M20" s="395" t="s">
        <v>324</v>
      </c>
      <c r="N20" s="398" t="s">
        <v>366</v>
      </c>
      <c r="O20" s="399" t="s">
        <v>251</v>
      </c>
      <c r="P20" s="225">
        <f ca="1">OFFSET(PLQ!$E$12,ROW($P20)-ROW(P$12),0)</f>
        <v>268.4</v>
      </c>
      <c r="Q20" s="229"/>
      <c r="R20" s="232" t="s">
        <v>7</v>
      </c>
      <c r="S20" s="121">
        <f t="shared" si="10"/>
        <v>0</v>
      </c>
      <c r="T20" s="98">
        <f ca="1" t="shared" si="11"/>
        <v>0</v>
      </c>
      <c r="U20" s="13" t="str">
        <f ca="1" t="shared" si="12"/>
        <v>SEM VALOR</v>
      </c>
      <c r="V20" s="4" t="str">
        <f ca="1">IF(OR($A20=0,$A20="S",$A20&gt;CFF!$A$9),"",MAX(V$12:OFFSET(V20,-1,0))+1)</f>
        <v/>
      </c>
      <c r="W20" s="9" t="str">
        <f>IF(AND($J20="Serviço",$M20&lt;&gt;""),IF($L20="",$M20,CONCATENATE($L20,"-",$M20)))</f>
        <v>SINAPI-92802</v>
      </c>
      <c r="X20" s="4">
        <f ca="1" t="shared" si="14"/>
        <v>2479</v>
      </c>
      <c r="Y20" s="121">
        <v>12.56</v>
      </c>
      <c r="Z20" s="132">
        <f ca="1">ROUND(IF(ISNUMBER(R20),R20,IF(LEFT(R20,3)="BDI",HLOOKUP(R20,DADOS!$T$37:$X$38,2,FALSE),0)),15-11*$X$5)</f>
        <v>0.2034</v>
      </c>
      <c r="AA20" s="4"/>
    </row>
    <row r="21" spans="1:27" ht="12.75" customHeight="1">
      <c r="A21" t="str">
        <f t="shared" si="0"/>
        <v>S</v>
      </c>
      <c r="B21">
        <f t="shared" si="1"/>
        <v>0</v>
      </c>
      <c r="C21">
        <f ca="1" t="shared" si="2"/>
        <v>2</v>
      </c>
      <c r="D21">
        <f ca="1" t="shared" si="3"/>
        <v>1</v>
      </c>
      <c r="E21">
        <f ca="1" t="shared" si="4"/>
        <v>0</v>
      </c>
      <c r="F21">
        <f ca="1" t="shared" si="5"/>
        <v>0</v>
      </c>
      <c r="G21">
        <f ca="1" t="shared" si="6"/>
        <v>4</v>
      </c>
      <c r="H21">
        <f ca="1" t="shared" si="7"/>
        <v>0</v>
      </c>
      <c r="I21">
        <f ca="1" t="shared" si="8"/>
        <v>0</v>
      </c>
      <c r="J21" s="394" t="s">
        <v>103</v>
      </c>
      <c r="K21" s="162" t="str">
        <f ca="1" t="shared" si="9"/>
        <v>2.1.4.</v>
      </c>
      <c r="L21" s="395" t="s">
        <v>234</v>
      </c>
      <c r="M21" s="395" t="s">
        <v>261</v>
      </c>
      <c r="N21" s="398" t="s">
        <v>367</v>
      </c>
      <c r="O21" s="399" t="s">
        <v>249</v>
      </c>
      <c r="P21" s="225">
        <f ca="1">OFFSET(PLQ!$E$12,ROW($P21)-ROW(P$12),0)</f>
        <v>7.67</v>
      </c>
      <c r="Q21" s="229"/>
      <c r="R21" s="232" t="s">
        <v>7</v>
      </c>
      <c r="S21" s="121">
        <f t="shared" si="10"/>
        <v>0</v>
      </c>
      <c r="T21" s="98">
        <f ca="1" t="shared" si="11"/>
        <v>0</v>
      </c>
      <c r="U21" s="13" t="str">
        <f ca="1" t="shared" si="12"/>
        <v>SEM VALOR</v>
      </c>
      <c r="V21" s="4" t="str">
        <f ca="1">IF(OR($A21=0,$A21="S",$A21&gt;CFF!$A$9),"",MAX(V$12:OFFSET(V21,-1,0))+1)</f>
        <v/>
      </c>
      <c r="W21" s="9" t="str">
        <f t="shared" si="13"/>
        <v>SINAPI-96558</v>
      </c>
      <c r="X21" s="4">
        <f ca="1" t="shared" si="14"/>
        <v>2576</v>
      </c>
      <c r="Y21" s="121">
        <v>795.15</v>
      </c>
      <c r="Z21" s="132">
        <f ca="1">ROUND(IF(ISNUMBER(R21),R21,IF(LEFT(R21,3)="BDI",HLOOKUP(R21,DADOS!$T$37:$X$38,2,FALSE),0)),15-11*$X$5)</f>
        <v>0.2034</v>
      </c>
      <c r="AA21" s="4"/>
    </row>
    <row r="22" spans="1:27" ht="12.75" customHeight="1">
      <c r="A22">
        <f t="shared" si="0"/>
        <v>2</v>
      </c>
      <c r="B22">
        <f ca="1" t="shared" si="1"/>
        <v>5</v>
      </c>
      <c r="C22">
        <f ca="1" t="shared" si="2"/>
        <v>2</v>
      </c>
      <c r="D22">
        <f ca="1" t="shared" si="3"/>
        <v>2</v>
      </c>
      <c r="E22">
        <f ca="1" t="shared" si="4"/>
        <v>0</v>
      </c>
      <c r="F22">
        <f ca="1" t="shared" si="5"/>
        <v>0</v>
      </c>
      <c r="G22">
        <f ca="1" t="shared" si="6"/>
        <v>0</v>
      </c>
      <c r="H22">
        <f ca="1" t="shared" si="7"/>
        <v>15</v>
      </c>
      <c r="I22">
        <f ca="1" t="shared" si="8"/>
        <v>5</v>
      </c>
      <c r="J22" s="394" t="s">
        <v>100</v>
      </c>
      <c r="K22" s="162" t="str">
        <f ca="1" t="shared" si="9"/>
        <v>2.2.</v>
      </c>
      <c r="L22" s="395"/>
      <c r="M22" s="395"/>
      <c r="N22" s="398" t="s">
        <v>235</v>
      </c>
      <c r="O22" s="399" t="s">
        <v>106</v>
      </c>
      <c r="P22" s="225">
        <f ca="1">OFFSET(PLQ!$E$12,ROW($P22)-ROW(P$12),0)</f>
        <v>0</v>
      </c>
      <c r="Q22" s="229"/>
      <c r="R22" s="232" t="s">
        <v>7</v>
      </c>
      <c r="S22" s="121">
        <f t="shared" si="10"/>
        <v>0</v>
      </c>
      <c r="T22" s="98">
        <f ca="1" t="shared" si="11"/>
        <v>0</v>
      </c>
      <c r="U22" s="13" t="str">
        <f ca="1" t="shared" si="12"/>
        <v>SEM VALOR</v>
      </c>
      <c r="V22" s="4">
        <f ca="1">IF(OR($A22=0,$A22="S",$A22&gt;CFF!$A$9),"",MAX(V$12:OFFSET(V22,-1,0))+1)</f>
        <v>4</v>
      </c>
      <c r="W22" s="9" t="b">
        <f t="shared" si="13"/>
        <v>0</v>
      </c>
      <c r="X22" s="4" t="str">
        <f ca="1" t="shared" si="14"/>
        <v>X</v>
      </c>
      <c r="Y22" s="121">
        <v>0</v>
      </c>
      <c r="Z22" s="132">
        <f ca="1">ROUND(IF(ISNUMBER(R22),R22,IF(LEFT(R22,3)="BDI",HLOOKUP(R22,DADOS!$T$37:$X$38,2,FALSE),0)),15-11*$X$5)</f>
        <v>0.2034</v>
      </c>
      <c r="AA22" s="4"/>
    </row>
    <row r="23" spans="1:27" ht="12.75" customHeight="1">
      <c r="A23" t="str">
        <f t="shared" si="0"/>
        <v>S</v>
      </c>
      <c r="B23">
        <f t="shared" si="1"/>
        <v>0</v>
      </c>
      <c r="C23">
        <f ca="1" t="shared" si="2"/>
        <v>2</v>
      </c>
      <c r="D23">
        <f ca="1" t="shared" si="3"/>
        <v>2</v>
      </c>
      <c r="E23">
        <f ca="1" t="shared" si="4"/>
        <v>0</v>
      </c>
      <c r="F23">
        <f ca="1" t="shared" si="5"/>
        <v>0</v>
      </c>
      <c r="G23">
        <f ca="1" t="shared" si="6"/>
        <v>1</v>
      </c>
      <c r="H23">
        <f ca="1" t="shared" si="7"/>
        <v>0</v>
      </c>
      <c r="I23">
        <f ca="1" t="shared" si="8"/>
        <v>0</v>
      </c>
      <c r="J23" s="394" t="s">
        <v>103</v>
      </c>
      <c r="K23" s="162" t="str">
        <f ca="1" t="shared" si="9"/>
        <v>2.2.1.</v>
      </c>
      <c r="L23" s="395" t="s">
        <v>234</v>
      </c>
      <c r="M23" s="397">
        <v>92413</v>
      </c>
      <c r="N23" s="398" t="s">
        <v>368</v>
      </c>
      <c r="O23" s="399" t="s">
        <v>248</v>
      </c>
      <c r="P23" s="225">
        <f ca="1">OFFSET(PLQ!$E$12,ROW($P23)-ROW(P$12),0)</f>
        <v>41.21</v>
      </c>
      <c r="Q23" s="229"/>
      <c r="R23" s="232" t="s">
        <v>7</v>
      </c>
      <c r="S23" s="121">
        <f t="shared" si="10"/>
        <v>0</v>
      </c>
      <c r="T23" s="98">
        <f ca="1" t="shared" si="11"/>
        <v>0</v>
      </c>
      <c r="U23" s="13" t="str">
        <f ca="1" t="shared" si="12"/>
        <v>SEM VALOR</v>
      </c>
      <c r="V23" s="4" t="str">
        <f ca="1">IF(OR($A23=0,$A23="S",$A23&gt;CFF!$A$9),"",MAX(V$12:OFFSET(V23,-1,0))+1)</f>
        <v/>
      </c>
      <c r="W23" s="9" t="str">
        <f t="shared" si="13"/>
        <v>SINAPI-92413</v>
      </c>
      <c r="X23" s="4">
        <f ca="1" t="shared" si="14"/>
        <v>2247</v>
      </c>
      <c r="Y23" s="121">
        <v>115.05</v>
      </c>
      <c r="Z23" s="132">
        <f ca="1">ROUND(IF(ISNUMBER(R23),R23,IF(LEFT(R23,3)="BDI",HLOOKUP(R23,DADOS!$T$37:$X$38,2,FALSE),0)),15-11*$X$5)</f>
        <v>0.2034</v>
      </c>
      <c r="AA23" s="4"/>
    </row>
    <row r="24" spans="1:27" ht="12.75" customHeight="1">
      <c r="A24" t="str">
        <f t="shared" si="0"/>
        <v>S</v>
      </c>
      <c r="B24">
        <f t="shared" si="1"/>
        <v>0</v>
      </c>
      <c r="C24">
        <f ca="1" t="shared" si="2"/>
        <v>2</v>
      </c>
      <c r="D24">
        <f ca="1" t="shared" si="3"/>
        <v>2</v>
      </c>
      <c r="E24">
        <f ca="1" t="shared" si="4"/>
        <v>0</v>
      </c>
      <c r="F24">
        <f ca="1" t="shared" si="5"/>
        <v>0</v>
      </c>
      <c r="G24">
        <f ca="1" t="shared" si="6"/>
        <v>2</v>
      </c>
      <c r="H24">
        <f ca="1" t="shared" si="7"/>
        <v>0</v>
      </c>
      <c r="I24">
        <f ca="1" t="shared" si="8"/>
        <v>0</v>
      </c>
      <c r="J24" s="394" t="s">
        <v>103</v>
      </c>
      <c r="K24" s="162" t="str">
        <f ca="1" t="shared" si="9"/>
        <v>2.2.2.</v>
      </c>
      <c r="L24" s="395" t="s">
        <v>234</v>
      </c>
      <c r="M24" s="397">
        <v>92803</v>
      </c>
      <c r="N24" s="398" t="s">
        <v>369</v>
      </c>
      <c r="O24" s="399" t="s">
        <v>251</v>
      </c>
      <c r="P24" s="225">
        <f ca="1">OFFSET(PLQ!$E$12,ROW($P24)-ROW(P$12),0)</f>
        <v>651.55</v>
      </c>
      <c r="Q24" s="229"/>
      <c r="R24" s="232" t="s">
        <v>7</v>
      </c>
      <c r="S24" s="121">
        <f t="shared" si="10"/>
        <v>0</v>
      </c>
      <c r="T24" s="98">
        <f ca="1" t="shared" si="11"/>
        <v>0</v>
      </c>
      <c r="U24" s="13" t="str">
        <f ca="1" t="shared" si="12"/>
        <v>SEM VALOR</v>
      </c>
      <c r="V24" s="4" t="str">
        <f ca="1">IF(OR($A24=0,$A24="S",$A24&gt;CFF!$A$9),"",MAX(V$12:OFFSET(V24,-1,0))+1)</f>
        <v/>
      </c>
      <c r="W24" s="9" t="str">
        <f t="shared" si="13"/>
        <v>SINAPI-92803</v>
      </c>
      <c r="X24" s="4">
        <f ca="1" t="shared" si="14"/>
        <v>2480</v>
      </c>
      <c r="Y24" s="121">
        <v>11.61</v>
      </c>
      <c r="Z24" s="132">
        <f ca="1">ROUND(IF(ISNUMBER(R24),R24,IF(LEFT(R24,3)="BDI",HLOOKUP(R24,DADOS!$T$37:$X$38,2,FALSE),0)),15-11*$X$5)</f>
        <v>0.2034</v>
      </c>
      <c r="AA24" s="4"/>
    </row>
    <row r="25" spans="1:27" ht="12.75" customHeight="1">
      <c r="A25" t="str">
        <f t="shared" si="0"/>
        <v>S</v>
      </c>
      <c r="B25">
        <f t="shared" si="1"/>
        <v>0</v>
      </c>
      <c r="C25">
        <f ca="1" t="shared" si="2"/>
        <v>2</v>
      </c>
      <c r="D25">
        <f ca="1" t="shared" si="3"/>
        <v>2</v>
      </c>
      <c r="E25">
        <f ca="1" t="shared" si="4"/>
        <v>0</v>
      </c>
      <c r="F25">
        <f ca="1" t="shared" si="5"/>
        <v>0</v>
      </c>
      <c r="G25">
        <f ca="1" t="shared" si="6"/>
        <v>3</v>
      </c>
      <c r="H25">
        <f ca="1" t="shared" si="7"/>
        <v>0</v>
      </c>
      <c r="I25">
        <f ca="1" t="shared" si="8"/>
        <v>0</v>
      </c>
      <c r="J25" s="394" t="s">
        <v>103</v>
      </c>
      <c r="K25" s="162" t="str">
        <f ca="1" t="shared" si="9"/>
        <v>2.2.3.</v>
      </c>
      <c r="L25" s="395" t="s">
        <v>234</v>
      </c>
      <c r="M25" s="397">
        <v>92800</v>
      </c>
      <c r="N25" s="398" t="s">
        <v>370</v>
      </c>
      <c r="O25" s="399" t="s">
        <v>251</v>
      </c>
      <c r="P25" s="225">
        <f ca="1">OFFSET(PLQ!$E$12,ROW($P25)-ROW(P$12),0)</f>
        <v>852.55</v>
      </c>
      <c r="Q25" s="229"/>
      <c r="R25" s="232" t="s">
        <v>7</v>
      </c>
      <c r="S25" s="121">
        <f t="shared" si="10"/>
        <v>0</v>
      </c>
      <c r="T25" s="98">
        <f ca="1" t="shared" si="11"/>
        <v>0</v>
      </c>
      <c r="U25" s="13" t="str">
        <f ca="1" t="shared" si="12"/>
        <v>SEM VALOR</v>
      </c>
      <c r="V25" s="4" t="str">
        <f ca="1">IF(OR($A25=0,$A25="S",$A25&gt;CFF!$A$9),"",MAX(V$12:OFFSET(V25,-1,0))+1)</f>
        <v/>
      </c>
      <c r="W25" s="9" t="str">
        <f t="shared" si="13"/>
        <v>SINAPI-92800</v>
      </c>
      <c r="X25" s="4">
        <f ca="1" t="shared" si="14"/>
        <v>2477</v>
      </c>
      <c r="Y25" s="121">
        <v>12.42</v>
      </c>
      <c r="Z25" s="132">
        <f ca="1">ROUND(IF(ISNUMBER(R25),R25,IF(LEFT(R25,3)="BDI",HLOOKUP(R25,DADOS!$T$37:$X$38,2,FALSE),0)),15-11*$X$5)</f>
        <v>0.2034</v>
      </c>
      <c r="AA25" s="4"/>
    </row>
    <row r="26" spans="1:27" ht="12.75" customHeight="1">
      <c r="A26" t="str">
        <f t="shared" si="0"/>
        <v>S</v>
      </c>
      <c r="B26">
        <f t="shared" si="1"/>
        <v>0</v>
      </c>
      <c r="C26">
        <f ca="1" t="shared" si="2"/>
        <v>2</v>
      </c>
      <c r="D26">
        <f ca="1" t="shared" si="3"/>
        <v>2</v>
      </c>
      <c r="E26">
        <f ca="1" t="shared" si="4"/>
        <v>0</v>
      </c>
      <c r="F26">
        <f ca="1" t="shared" si="5"/>
        <v>0</v>
      </c>
      <c r="G26">
        <f ca="1" t="shared" si="6"/>
        <v>4</v>
      </c>
      <c r="H26">
        <f ca="1" t="shared" si="7"/>
        <v>0</v>
      </c>
      <c r="I26">
        <f ca="1" t="shared" si="8"/>
        <v>0</v>
      </c>
      <c r="J26" s="394" t="s">
        <v>103</v>
      </c>
      <c r="K26" s="162" t="str">
        <f ca="1" t="shared" si="9"/>
        <v>2.2.4.</v>
      </c>
      <c r="L26" s="395" t="s">
        <v>234</v>
      </c>
      <c r="M26" s="397">
        <v>103669</v>
      </c>
      <c r="N26" s="398" t="s">
        <v>371</v>
      </c>
      <c r="O26" s="399" t="s">
        <v>249</v>
      </c>
      <c r="P26" s="225">
        <f ca="1">OFFSET(PLQ!$E$12,ROW($P26)-ROW(P$12),0)</f>
        <v>8.82</v>
      </c>
      <c r="Q26" s="229"/>
      <c r="R26" s="232" t="s">
        <v>7</v>
      </c>
      <c r="S26" s="121">
        <f t="shared" si="10"/>
        <v>0</v>
      </c>
      <c r="T26" s="98">
        <f ca="1" t="shared" si="11"/>
        <v>0</v>
      </c>
      <c r="U26" s="13" t="str">
        <f ca="1" t="shared" si="12"/>
        <v>SEM VALOR</v>
      </c>
      <c r="V26" s="4" t="str">
        <f ca="1">IF(OR($A26=0,$A26="S",$A26&gt;CFF!$A$9),"",MAX(V$12:OFFSET(V26,-1,0))+1)</f>
        <v/>
      </c>
      <c r="W26" s="9" t="str">
        <f t="shared" si="13"/>
        <v>SINAPI-103669</v>
      </c>
      <c r="X26" s="4">
        <f ca="1" t="shared" si="14"/>
        <v>2604</v>
      </c>
      <c r="Y26" s="121">
        <v>1104.11</v>
      </c>
      <c r="Z26" s="132">
        <f ca="1">ROUND(IF(ISNUMBER(R26),R26,IF(LEFT(R26,3)="BDI",HLOOKUP(R26,DADOS!$T$37:$X$38,2,FALSE),0)),15-11*$X$5)</f>
        <v>0.2034</v>
      </c>
      <c r="AA26" s="4"/>
    </row>
    <row r="27" spans="1:27" ht="12.75" customHeight="1">
      <c r="A27">
        <f t="shared" si="0"/>
        <v>2</v>
      </c>
      <c r="B27">
        <f ca="1" t="shared" si="1"/>
        <v>5</v>
      </c>
      <c r="C27">
        <f ca="1" t="shared" si="2"/>
        <v>2</v>
      </c>
      <c r="D27">
        <f ca="1" t="shared" si="3"/>
        <v>3</v>
      </c>
      <c r="E27">
        <f ca="1" t="shared" si="4"/>
        <v>0</v>
      </c>
      <c r="F27">
        <f ca="1" t="shared" si="5"/>
        <v>0</v>
      </c>
      <c r="G27">
        <f ca="1" t="shared" si="6"/>
        <v>0</v>
      </c>
      <c r="H27">
        <f ca="1" t="shared" si="7"/>
        <v>10</v>
      </c>
      <c r="I27">
        <f ca="1" t="shared" si="8"/>
        <v>5</v>
      </c>
      <c r="J27" s="394" t="s">
        <v>100</v>
      </c>
      <c r="K27" s="162" t="str">
        <f ca="1" t="shared" si="9"/>
        <v>2.3.</v>
      </c>
      <c r="L27" s="395"/>
      <c r="M27" s="395"/>
      <c r="N27" s="398" t="s">
        <v>267</v>
      </c>
      <c r="O27" s="399" t="s">
        <v>106</v>
      </c>
      <c r="P27" s="225">
        <f ca="1">OFFSET(PLQ!$E$12,ROW($P27)-ROW(P$12),0)</f>
        <v>0</v>
      </c>
      <c r="Q27" s="229"/>
      <c r="R27" s="232" t="s">
        <v>7</v>
      </c>
      <c r="S27" s="121">
        <f t="shared" si="10"/>
        <v>0</v>
      </c>
      <c r="T27" s="98">
        <f ca="1" t="shared" si="11"/>
        <v>0</v>
      </c>
      <c r="U27" s="13" t="str">
        <f ca="1" t="shared" si="12"/>
        <v>SEM VALOR</v>
      </c>
      <c r="V27" s="4">
        <f ca="1">IF(OR($A27=0,$A27="S",$A27&gt;CFF!$A$9),"",MAX(V$12:OFFSET(V27,-1,0))+1)</f>
        <v>5</v>
      </c>
      <c r="W27" s="9" t="b">
        <f t="shared" si="13"/>
        <v>0</v>
      </c>
      <c r="X27" s="4" t="str">
        <f ca="1" t="shared" si="14"/>
        <v>X</v>
      </c>
      <c r="Y27" s="121">
        <v>0</v>
      </c>
      <c r="Z27" s="132">
        <f ca="1">ROUND(IF(ISNUMBER(R27),R27,IF(LEFT(R27,3)="BDI",HLOOKUP(R27,DADOS!$T$37:$X$38,2,FALSE),0)),15-11*$X$5)</f>
        <v>0.2034</v>
      </c>
      <c r="AA27" s="4"/>
    </row>
    <row r="28" spans="1:27" ht="12.75" customHeight="1">
      <c r="A28" t="str">
        <f t="shared" si="0"/>
        <v>S</v>
      </c>
      <c r="B28">
        <f t="shared" si="1"/>
        <v>0</v>
      </c>
      <c r="C28">
        <f ca="1" t="shared" si="2"/>
        <v>2</v>
      </c>
      <c r="D28">
        <f ca="1" t="shared" si="3"/>
        <v>3</v>
      </c>
      <c r="E28">
        <f ca="1" t="shared" si="4"/>
        <v>0</v>
      </c>
      <c r="F28">
        <f ca="1" t="shared" si="5"/>
        <v>0</v>
      </c>
      <c r="G28">
        <f ca="1" t="shared" si="6"/>
        <v>1</v>
      </c>
      <c r="H28">
        <f ca="1" t="shared" si="7"/>
        <v>0</v>
      </c>
      <c r="I28">
        <f ca="1" t="shared" si="8"/>
        <v>0</v>
      </c>
      <c r="J28" s="394" t="s">
        <v>103</v>
      </c>
      <c r="K28" s="162" t="str">
        <f ca="1" t="shared" si="9"/>
        <v>2.3.1.</v>
      </c>
      <c r="L28" s="395" t="s">
        <v>234</v>
      </c>
      <c r="M28" s="397">
        <v>96536</v>
      </c>
      <c r="N28" s="398" t="s">
        <v>372</v>
      </c>
      <c r="O28" s="399" t="s">
        <v>248</v>
      </c>
      <c r="P28" s="225">
        <f ca="1">OFFSET(PLQ!$E$12,ROW($P28)-ROW(P$12),0)</f>
        <v>54.3</v>
      </c>
      <c r="Q28" s="229"/>
      <c r="R28" s="232" t="s">
        <v>7</v>
      </c>
      <c r="S28" s="121">
        <f t="shared" si="10"/>
        <v>0</v>
      </c>
      <c r="T28" s="98">
        <f ca="1" t="shared" si="11"/>
        <v>0</v>
      </c>
      <c r="U28" s="13" t="str">
        <f ca="1" t="shared" si="12"/>
        <v>SEM VALOR</v>
      </c>
      <c r="V28" s="4" t="str">
        <f ca="1">IF(OR($A28=0,$A28="S",$A28&gt;CFF!$A$9),"",MAX(V$12:OFFSET(V28,-1,0))+1)</f>
        <v/>
      </c>
      <c r="W28" s="9" t="str">
        <f t="shared" si="13"/>
        <v>SINAPI-96536</v>
      </c>
      <c r="X28" s="4">
        <f ca="1" t="shared" si="14"/>
        <v>2339</v>
      </c>
      <c r="Y28" s="121">
        <v>78.91</v>
      </c>
      <c r="Z28" s="132">
        <f ca="1">ROUND(IF(ISNUMBER(R28),R28,IF(LEFT(R28,3)="BDI",HLOOKUP(R28,DADOS!$T$37:$X$38,2,FALSE),0)),15-11*$X$5)</f>
        <v>0.2034</v>
      </c>
      <c r="AA28" s="4"/>
    </row>
    <row r="29" spans="1:27" ht="12.75" customHeight="1">
      <c r="A29" t="str">
        <f t="shared" si="0"/>
        <v>S</v>
      </c>
      <c r="B29">
        <f t="shared" si="1"/>
        <v>0</v>
      </c>
      <c r="C29">
        <f ca="1" t="shared" si="2"/>
        <v>2</v>
      </c>
      <c r="D29">
        <f ca="1" t="shared" si="3"/>
        <v>3</v>
      </c>
      <c r="E29">
        <f ca="1" t="shared" si="4"/>
        <v>0</v>
      </c>
      <c r="F29">
        <f ca="1" t="shared" si="5"/>
        <v>0</v>
      </c>
      <c r="G29">
        <f ca="1" t="shared" si="6"/>
        <v>2</v>
      </c>
      <c r="H29">
        <f ca="1" t="shared" si="7"/>
        <v>0</v>
      </c>
      <c r="I29">
        <f ca="1" t="shared" si="8"/>
        <v>0</v>
      </c>
      <c r="J29" s="394" t="s">
        <v>103</v>
      </c>
      <c r="K29" s="162" t="str">
        <f ca="1" t="shared" si="9"/>
        <v>2.3.2.</v>
      </c>
      <c r="L29" s="395" t="s">
        <v>234</v>
      </c>
      <c r="M29" s="395" t="s">
        <v>266</v>
      </c>
      <c r="N29" s="398" t="s">
        <v>250</v>
      </c>
      <c r="O29" s="399" t="s">
        <v>251</v>
      </c>
      <c r="P29" s="225">
        <f ca="1">OFFSET(PLQ!$E$12,ROW($P29)-ROW(P$12),0)</f>
        <v>893.42</v>
      </c>
      <c r="Q29" s="229"/>
      <c r="R29" s="232" t="s">
        <v>7</v>
      </c>
      <c r="S29" s="121">
        <f t="shared" si="10"/>
        <v>0</v>
      </c>
      <c r="T29" s="98">
        <f ca="1" t="shared" si="11"/>
        <v>0</v>
      </c>
      <c r="U29" s="13" t="str">
        <f ca="1" t="shared" si="12"/>
        <v>SEM VALOR</v>
      </c>
      <c r="V29" s="4" t="str">
        <f ca="1">IF(OR($A29=0,$A29="S",$A29&gt;CFF!$A$9),"",MAX(V$12:OFFSET(V29,-1,0))+1)</f>
        <v/>
      </c>
      <c r="W29" s="9" t="str">
        <f t="shared" si="13"/>
        <v>SINAPI-92803</v>
      </c>
      <c r="X29" s="4">
        <f ca="1" t="shared" si="14"/>
        <v>2480</v>
      </c>
      <c r="Y29" s="121">
        <v>11.61</v>
      </c>
      <c r="Z29" s="132">
        <f ca="1">ROUND(IF(ISNUMBER(R29),R29,IF(LEFT(R29,3)="BDI",HLOOKUP(R29,DADOS!$T$37:$X$38,2,FALSE),0)),15-11*$X$5)</f>
        <v>0.2034</v>
      </c>
      <c r="AA29" s="4"/>
    </row>
    <row r="30" spans="1:27" ht="12.75" customHeight="1">
      <c r="A30" t="str">
        <f>CHOOSE(1+LOG(1+2*(J30="Meta")+4*(J30="Nível 2")+8*(J30="Nível 3")+16*(J30="Nível 4")+32*(J30="Serviço"),2),0,1,2,3,4,"S")</f>
        <v>S</v>
      </c>
      <c r="B30">
        <f>IF(OR(A30="S",A30=0),0,IF(ISERROR(I30),H30,SMALL(H30:I30,1)))</f>
        <v>0</v>
      </c>
      <c r="C30">
        <f ca="1">IF($A30=1,OFFSET(C30,-1,0)+1,OFFSET(C30,-1,0))</f>
        <v>2</v>
      </c>
      <c r="D30">
        <f ca="1">IF($A30=1,0,IF($A30=2,OFFSET(D30,-1,0)+1,OFFSET(D30,-1,0)))</f>
        <v>3</v>
      </c>
      <c r="E30">
        <f ca="1">IF(AND($A30&lt;=2,$A30&lt;&gt;0),0,IF($A30=3,OFFSET(E30,-1,0)+1,OFFSET(E30,-1,0)))</f>
        <v>0</v>
      </c>
      <c r="F30">
        <f ca="1">IF(AND($A30&lt;=3,$A30&lt;&gt;0),0,IF($A30=4,OFFSET(F30,-1,0)+1,OFFSET(F30,-1,0)))</f>
        <v>0</v>
      </c>
      <c r="G30">
        <f ca="1">IF(AND($A30&lt;=4,$A30&lt;&gt;0),0,IF($A30="S",OFFSET(G30,-1,0)+1,OFFSET(G30,-1,0)))</f>
        <v>3</v>
      </c>
      <c r="H30">
        <f ca="1" t="shared" si="7"/>
        <v>0</v>
      </c>
      <c r="I30">
        <f ca="1" t="shared" si="8"/>
        <v>0</v>
      </c>
      <c r="J30" s="394" t="s">
        <v>103</v>
      </c>
      <c r="K30" s="162" t="str">
        <f ca="1">IF($A30=0,"-",CONCATENATE(C30&amp;".",IF(AND($A$5&gt;=2,$A30&gt;=2),D30&amp;".",""),IF(AND($A$5&gt;=3,$A30&gt;=3),E30&amp;".",""),IF(AND($A$5&gt;=4,$A30&gt;=4),F30&amp;".",""),IF($A30="S",G30&amp;".","")))</f>
        <v>2.3.3.</v>
      </c>
      <c r="L30" s="395" t="s">
        <v>234</v>
      </c>
      <c r="M30" s="397">
        <v>92800</v>
      </c>
      <c r="N30" s="398" t="s">
        <v>252</v>
      </c>
      <c r="O30" s="399" t="s">
        <v>251</v>
      </c>
      <c r="P30" s="225">
        <f ca="1">OFFSET(PLQ!$E$12,ROW($P30)-ROW(P$12),0)</f>
        <v>343.41</v>
      </c>
      <c r="Q30" s="229"/>
      <c r="R30" s="232" t="s">
        <v>7</v>
      </c>
      <c r="S30" s="121">
        <f>IF($A30="S",IF($Q$10="Preço Unitário (R$)",PO.CustoUnitario,ROUND(PO.CustoUnitario*(1+$Z30),15-13*$X$6)),0)</f>
        <v>0</v>
      </c>
      <c r="T30" s="98">
        <f ca="1">IF($A30="S",VTOTAL1,IF($A30=0,0,ROUND(SomaAgrup,15-13*$X$7)))</f>
        <v>0</v>
      </c>
      <c r="U30" s="13" t="str">
        <f ca="1">IF($J30="","",IF($N30="","DESCRIÇÃO",IF(AND($J30="Serviço",$O30=""),"UNIDADE",IF($T30&lt;=0,"SEM VALOR",IF(AND($Y30&lt;&gt;"",$Q30&gt;$Y30),"ACIMA REF.","")))))</f>
        <v>SEM VALOR</v>
      </c>
      <c r="V30" s="4" t="str">
        <f ca="1">IF(OR($A30=0,$A30="S",$A30&gt;CFF!$A$9),"",MAX(V$12:OFFSET(V30,-1,0))+1)</f>
        <v/>
      </c>
      <c r="W30" s="9" t="str">
        <f>IF(AND($J30="Serviço",$M30&lt;&gt;""),IF($L30="",$M30,CONCATENATE($L30,"-",$M30)))</f>
        <v>SINAPI-92800</v>
      </c>
      <c r="X30" s="4">
        <f ca="1">IF(AND(Fonte&lt;&gt;"",Código&lt;&gt;""),MATCH(Fonte&amp;" "&amp;IF(Fonte="sinapi",SUBSTITUTE(SUBSTITUTE(Código,"/00","/"),"/0","/"),Código),INDIRECT("'[Referência "&amp;_XLNM.DATABASE&amp;".xls]Banco'!$a:$a"),0),"X")</f>
        <v>2477</v>
      </c>
      <c r="Y30" s="121">
        <v>12.42</v>
      </c>
      <c r="Z30" s="132">
        <f ca="1">ROUND(IF(ISNUMBER(R30),R30,IF(LEFT(R30,3)="BDI",HLOOKUP(R30,DADOS!$T$37:$X$38,2,FALSE),0)),15-11*$X$5)</f>
        <v>0.2034</v>
      </c>
      <c r="AA30" s="4"/>
    </row>
    <row r="31" spans="1:27" ht="12.75" customHeight="1">
      <c r="A31" t="str">
        <f t="shared" si="0"/>
        <v>S</v>
      </c>
      <c r="B31">
        <f t="shared" si="1"/>
        <v>0</v>
      </c>
      <c r="C31">
        <f ca="1" t="shared" si="2"/>
        <v>2</v>
      </c>
      <c r="D31">
        <f ca="1" t="shared" si="3"/>
        <v>3</v>
      </c>
      <c r="E31">
        <f ca="1" t="shared" si="4"/>
        <v>0</v>
      </c>
      <c r="F31">
        <f ca="1" t="shared" si="5"/>
        <v>0</v>
      </c>
      <c r="G31">
        <f ca="1" t="shared" si="6"/>
        <v>4</v>
      </c>
      <c r="H31">
        <f ca="1" t="shared" si="7"/>
        <v>0</v>
      </c>
      <c r="I31">
        <f ca="1" t="shared" si="8"/>
        <v>0</v>
      </c>
      <c r="J31" s="394" t="s">
        <v>103</v>
      </c>
      <c r="K31" s="162" t="str">
        <f ca="1" t="shared" si="9"/>
        <v>2.3.4.</v>
      </c>
      <c r="L31" s="395" t="s">
        <v>234</v>
      </c>
      <c r="M31" s="397">
        <v>96555</v>
      </c>
      <c r="N31" s="398" t="s">
        <v>373</v>
      </c>
      <c r="O31" s="399" t="s">
        <v>249</v>
      </c>
      <c r="P31" s="225">
        <f ca="1">OFFSET(PLQ!$E$12,ROW($P31)-ROW(P$12),0)</f>
        <v>16.29</v>
      </c>
      <c r="Q31" s="229"/>
      <c r="R31" s="232" t="s">
        <v>7</v>
      </c>
      <c r="S31" s="121">
        <f t="shared" si="10"/>
        <v>0</v>
      </c>
      <c r="T31" s="98">
        <f ca="1" t="shared" si="11"/>
        <v>0</v>
      </c>
      <c r="U31" s="13" t="str">
        <f ca="1" t="shared" si="12"/>
        <v>SEM VALOR</v>
      </c>
      <c r="V31" s="4" t="str">
        <f ca="1">IF(OR($A31=0,$A31="S",$A31&gt;CFF!$A$9),"",MAX(V$12:OFFSET(V31,-1,0))+1)</f>
        <v/>
      </c>
      <c r="W31" s="9" t="str">
        <f t="shared" si="13"/>
        <v>SINAPI-96555</v>
      </c>
      <c r="X31" s="4">
        <f ca="1" t="shared" si="14"/>
        <v>2573</v>
      </c>
      <c r="Y31" s="121">
        <v>840.37</v>
      </c>
      <c r="Z31" s="132">
        <f ca="1">ROUND(IF(ISNUMBER(R31),R31,IF(LEFT(R31,3)="BDI",HLOOKUP(R31,DADOS!$T$37:$X$38,2,FALSE),0)),15-11*$X$5)</f>
        <v>0.2034</v>
      </c>
      <c r="AA31" s="4"/>
    </row>
    <row r="32" spans="1:27" ht="12.75" customHeight="1">
      <c r="A32">
        <f t="shared" si="0"/>
        <v>2</v>
      </c>
      <c r="B32">
        <f ca="1" t="shared" si="1"/>
        <v>5</v>
      </c>
      <c r="C32">
        <f ca="1" t="shared" si="2"/>
        <v>2</v>
      </c>
      <c r="D32">
        <f ca="1" t="shared" si="3"/>
        <v>4</v>
      </c>
      <c r="E32">
        <f ca="1" t="shared" si="4"/>
        <v>0</v>
      </c>
      <c r="F32">
        <f ca="1" t="shared" si="5"/>
        <v>0</v>
      </c>
      <c r="G32">
        <f ca="1" t="shared" si="6"/>
        <v>0</v>
      </c>
      <c r="H32">
        <f ca="1" t="shared" si="7"/>
        <v>5</v>
      </c>
      <c r="I32" t="e">
        <f ca="1" t="shared" si="8"/>
        <v>#N/A</v>
      </c>
      <c r="J32" s="394" t="s">
        <v>100</v>
      </c>
      <c r="K32" s="162" t="str">
        <f ca="1" t="shared" si="9"/>
        <v>2.4.</v>
      </c>
      <c r="L32" s="395"/>
      <c r="M32" s="395"/>
      <c r="N32" s="398" t="s">
        <v>322</v>
      </c>
      <c r="O32" s="399" t="s">
        <v>106</v>
      </c>
      <c r="P32" s="225">
        <f ca="1">OFFSET(PLQ!$E$12,ROW($P32)-ROW(P$12),0)</f>
        <v>0</v>
      </c>
      <c r="Q32" s="229"/>
      <c r="R32" s="232" t="s">
        <v>7</v>
      </c>
      <c r="S32" s="121">
        <f t="shared" si="10"/>
        <v>0</v>
      </c>
      <c r="T32" s="98">
        <f ca="1" t="shared" si="11"/>
        <v>0</v>
      </c>
      <c r="U32" s="13" t="str">
        <f ca="1" t="shared" si="12"/>
        <v>SEM VALOR</v>
      </c>
      <c r="V32" s="4">
        <f ca="1">IF(OR($A32=0,$A32="S",$A32&gt;CFF!$A$9),"",MAX(V$12:OFFSET(V32,-1,0))+1)</f>
        <v>6</v>
      </c>
      <c r="W32" s="9" t="b">
        <f t="shared" si="13"/>
        <v>0</v>
      </c>
      <c r="X32" s="4" t="str">
        <f ca="1" t="shared" si="14"/>
        <v>X</v>
      </c>
      <c r="Y32" s="121">
        <v>0</v>
      </c>
      <c r="Z32" s="132">
        <f ca="1">ROUND(IF(ISNUMBER(R32),R32,IF(LEFT(R32,3)="BDI",HLOOKUP(R32,DADOS!$T$37:$X$38,2,FALSE),0)),15-11*$X$5)</f>
        <v>0.2034</v>
      </c>
      <c r="AA32" s="4"/>
    </row>
    <row r="33" spans="1:27" ht="12.75" customHeight="1">
      <c r="A33" t="str">
        <f>CHOOSE(1+LOG(1+2*(J33="Meta")+4*(J33="Nível 2")+8*(J33="Nível 3")+16*(J33="Nível 4")+32*(J33="Serviço"),2),0,1,2,3,4,"S")</f>
        <v>S</v>
      </c>
      <c r="B33">
        <f>IF(OR(A33="S",A33=0),0,IF(ISERROR(I33),H33,SMALL(H33:I33,1)))</f>
        <v>0</v>
      </c>
      <c r="C33">
        <f ca="1">IF($A33=1,OFFSET(C33,-1,0)+1,OFFSET(C33,-1,0))</f>
        <v>2</v>
      </c>
      <c r="D33">
        <f ca="1">IF($A33=1,0,IF($A33=2,OFFSET(D33,-1,0)+1,OFFSET(D33,-1,0)))</f>
        <v>4</v>
      </c>
      <c r="E33">
        <f ca="1">IF(AND($A33&lt;=2,$A33&lt;&gt;0),0,IF($A33=3,OFFSET(E33,-1,0)+1,OFFSET(E33,-1,0)))</f>
        <v>0</v>
      </c>
      <c r="F33">
        <f ca="1">IF(AND($A33&lt;=3,$A33&lt;&gt;0),0,IF($A33=4,OFFSET(F33,-1,0)+1,OFFSET(F33,-1,0)))</f>
        <v>0</v>
      </c>
      <c r="G33">
        <f ca="1">IF(AND($A33&lt;=4,$A33&lt;&gt;0),0,IF($A33="S",OFFSET(G33,-1,0)+1,OFFSET(G33,-1,0)))</f>
        <v>1</v>
      </c>
      <c r="H33">
        <f ca="1" t="shared" si="7"/>
        <v>0</v>
      </c>
      <c r="I33">
        <f ca="1" t="shared" si="8"/>
        <v>0</v>
      </c>
      <c r="J33" s="394" t="s">
        <v>103</v>
      </c>
      <c r="K33" s="162" t="str">
        <f ca="1">IF($A33=0,"-",CONCATENATE(C33&amp;".",IF(AND($A$5&gt;=2,$A33&gt;=2),D33&amp;".",""),IF(AND($A$5&gt;=3,$A33&gt;=3),E33&amp;".",""),IF(AND($A$5&gt;=4,$A33&gt;=4),F33&amp;".",""),IF($A33="S",G33&amp;".","")))</f>
        <v>2.4.1.</v>
      </c>
      <c r="L33" s="395" t="s">
        <v>234</v>
      </c>
      <c r="M33" s="397">
        <v>96536</v>
      </c>
      <c r="N33" s="398" t="s">
        <v>341</v>
      </c>
      <c r="O33" s="399" t="s">
        <v>248</v>
      </c>
      <c r="P33" s="225">
        <f ca="1">OFFSET(PLQ!$E$12,ROW($P33)-ROW(P$12),0)</f>
        <v>29</v>
      </c>
      <c r="Q33" s="229"/>
      <c r="R33" s="232" t="s">
        <v>7</v>
      </c>
      <c r="S33" s="121">
        <f>IF($A33="S",IF($Q$10="Preço Unitário (R$)",PO.CustoUnitario,ROUND(PO.CustoUnitario*(1+$Z33),15-13*$X$6)),0)</f>
        <v>0</v>
      </c>
      <c r="T33" s="98">
        <f ca="1">IF($A33="S",VTOTAL1,IF($A33=0,0,ROUND(SomaAgrup,15-13*$X$7)))</f>
        <v>0</v>
      </c>
      <c r="U33" s="13" t="str">
        <f ca="1">IF($J33="","",IF($N33="","DESCRIÇÃO",IF(AND($J33="Serviço",$O33=""),"UNIDADE",IF($T33&lt;=0,"SEM VALOR",IF(AND($Y33&lt;&gt;"",$Q33&gt;$Y33),"ACIMA REF.","")))))</f>
        <v>SEM VALOR</v>
      </c>
      <c r="V33" s="4" t="str">
        <f ca="1">IF(OR($A33=0,$A33="S",$A33&gt;CFF!$A$9),"",MAX(V$12:OFFSET(V33,-1,0))+1)</f>
        <v/>
      </c>
      <c r="W33" s="9" t="str">
        <f>IF(AND($J33="Serviço",$M33&lt;&gt;""),IF($L33="",$M33,CONCATENATE($L33,"-",$M33)))</f>
        <v>SINAPI-96536</v>
      </c>
      <c r="X33" s="4">
        <f ca="1">IF(AND(Fonte&lt;&gt;"",Código&lt;&gt;""),MATCH(Fonte&amp;" "&amp;IF(Fonte="sinapi",SUBSTITUTE(SUBSTITUTE(Código,"/00","/"),"/0","/"),Código),INDIRECT("'[Referência "&amp;_XLNM.DATABASE&amp;".xls]Banco'!$a:$a"),0),"X")</f>
        <v>2339</v>
      </c>
      <c r="Y33" s="121">
        <v>78.91</v>
      </c>
      <c r="Z33" s="132">
        <f ca="1">ROUND(IF(ISNUMBER(R33),R33,IF(LEFT(R33,3)="BDI",HLOOKUP(R33,DADOS!$T$37:$X$38,2,FALSE),0)),15-11*$X$5)</f>
        <v>0.2034</v>
      </c>
      <c r="AA33" s="4"/>
    </row>
    <row r="34" spans="1:27" ht="12.75" customHeight="1">
      <c r="A34" t="str">
        <f t="shared" si="0"/>
        <v>S</v>
      </c>
      <c r="B34">
        <f t="shared" si="1"/>
        <v>0</v>
      </c>
      <c r="C34">
        <f ca="1" t="shared" si="2"/>
        <v>2</v>
      </c>
      <c r="D34">
        <f ca="1" t="shared" si="3"/>
        <v>4</v>
      </c>
      <c r="E34">
        <f ca="1" t="shared" si="4"/>
        <v>0</v>
      </c>
      <c r="F34">
        <f ca="1" t="shared" si="5"/>
        <v>0</v>
      </c>
      <c r="G34">
        <f ca="1" t="shared" si="6"/>
        <v>2</v>
      </c>
      <c r="H34">
        <f ca="1" t="shared" si="7"/>
        <v>0</v>
      </c>
      <c r="I34">
        <f ca="1" t="shared" si="8"/>
        <v>0</v>
      </c>
      <c r="J34" s="394" t="s">
        <v>103</v>
      </c>
      <c r="K34" s="162" t="str">
        <f ca="1" t="shared" si="9"/>
        <v>2.4.2.</v>
      </c>
      <c r="L34" s="395" t="s">
        <v>234</v>
      </c>
      <c r="M34" s="395" t="s">
        <v>324</v>
      </c>
      <c r="N34" s="398" t="s">
        <v>366</v>
      </c>
      <c r="O34" s="399" t="s">
        <v>251</v>
      </c>
      <c r="P34" s="225">
        <f ca="1">OFFSET(PLQ!$E$12,ROW($P34)-ROW(P$12),0)</f>
        <v>461.36</v>
      </c>
      <c r="Q34" s="229"/>
      <c r="R34" s="232" t="s">
        <v>7</v>
      </c>
      <c r="S34" s="121">
        <f t="shared" si="10"/>
        <v>0</v>
      </c>
      <c r="T34" s="98">
        <f ca="1" t="shared" si="11"/>
        <v>0</v>
      </c>
      <c r="U34" s="13" t="str">
        <f ca="1" t="shared" si="12"/>
        <v>SEM VALOR</v>
      </c>
      <c r="V34" s="4" t="str">
        <f ca="1">IF(OR($A34=0,$A34="S",$A34&gt;CFF!$A$9),"",MAX(V$12:OFFSET(V34,-1,0))+1)</f>
        <v/>
      </c>
      <c r="W34" s="9" t="str">
        <f t="shared" si="13"/>
        <v>SINAPI-92802</v>
      </c>
      <c r="X34" s="4">
        <f ca="1" t="shared" si="14"/>
        <v>2479</v>
      </c>
      <c r="Y34" s="121">
        <v>12.56</v>
      </c>
      <c r="Z34" s="132">
        <f ca="1">ROUND(IF(ISNUMBER(R34),R34,IF(LEFT(R34,3)="BDI",HLOOKUP(R34,DADOS!$T$37:$X$38,2,FALSE),0)),15-11*$X$5)</f>
        <v>0.2034</v>
      </c>
      <c r="AA34" s="4"/>
    </row>
    <row r="35" spans="1:27" ht="12.75" customHeight="1">
      <c r="A35" t="str">
        <f>CHOOSE(1+LOG(1+2*(J35="Meta")+4*(J35="Nível 2")+8*(J35="Nível 3")+16*(J35="Nível 4")+32*(J35="Serviço"),2),0,1,2,3,4,"S")</f>
        <v>S</v>
      </c>
      <c r="B35">
        <f>IF(OR(A35="S",A35=0),0,IF(ISERROR(I35),H35,SMALL(H35:I35,1)))</f>
        <v>0</v>
      </c>
      <c r="C35">
        <f ca="1">IF($A35=1,OFFSET(C35,-1,0)+1,OFFSET(C35,-1,0))</f>
        <v>2</v>
      </c>
      <c r="D35">
        <f ca="1">IF($A35=1,0,IF($A35=2,OFFSET(D35,-1,0)+1,OFFSET(D35,-1,0)))</f>
        <v>4</v>
      </c>
      <c r="E35">
        <f ca="1">IF(AND($A35&lt;=2,$A35&lt;&gt;0),0,IF($A35=3,OFFSET(E35,-1,0)+1,OFFSET(E35,-1,0)))</f>
        <v>0</v>
      </c>
      <c r="F35">
        <f ca="1">IF(AND($A35&lt;=3,$A35&lt;&gt;0),0,IF($A35=4,OFFSET(F35,-1,0)+1,OFFSET(F35,-1,0)))</f>
        <v>0</v>
      </c>
      <c r="G35">
        <f ca="1">IF(AND($A35&lt;=4,$A35&lt;&gt;0),0,IF($A35="S",OFFSET(G35,-1,0)+1,OFFSET(G35,-1,0)))</f>
        <v>3</v>
      </c>
      <c r="H35">
        <f ca="1" t="shared" si="7"/>
        <v>0</v>
      </c>
      <c r="I35">
        <f ca="1" t="shared" si="8"/>
        <v>0</v>
      </c>
      <c r="J35" s="394" t="s">
        <v>103</v>
      </c>
      <c r="K35" s="162" t="str">
        <f ca="1">IF($A35=0,"-",CONCATENATE(C35&amp;".",IF(AND($A$5&gt;=2,$A35&gt;=2),D35&amp;".",""),IF(AND($A$5&gt;=3,$A35&gt;=3),E35&amp;".",""),IF(AND($A$5&gt;=4,$A35&gt;=4),F35&amp;".",""),IF($A35="S",G35&amp;".","")))</f>
        <v>2.4.3.</v>
      </c>
      <c r="L35" s="395" t="s">
        <v>234</v>
      </c>
      <c r="M35" s="397">
        <v>92800</v>
      </c>
      <c r="N35" s="398" t="s">
        <v>370</v>
      </c>
      <c r="O35" s="399" t="s">
        <v>251</v>
      </c>
      <c r="P35" s="225">
        <f ca="1">OFFSET(PLQ!$E$12,ROW($P35)-ROW(P$12),0)</f>
        <v>214.05</v>
      </c>
      <c r="Q35" s="229"/>
      <c r="R35" s="232" t="s">
        <v>7</v>
      </c>
      <c r="S35" s="121">
        <f>IF($A35="S",IF($Q$10="Preço Unitário (R$)",PO.CustoUnitario,ROUND(PO.CustoUnitario*(1+$Z35),15-13*$X$6)),0)</f>
        <v>0</v>
      </c>
      <c r="T35" s="98">
        <f ca="1">IF($A35="S",VTOTAL1,IF($A35=0,0,ROUND(SomaAgrup,15-13*$X$7)))</f>
        <v>0</v>
      </c>
      <c r="U35" s="13" t="str">
        <f ca="1">IF($J35="","",IF($N35="","DESCRIÇÃO",IF(AND($J35="Serviço",$O35=""),"UNIDADE",IF($T35&lt;=0,"SEM VALOR",IF(AND($Y35&lt;&gt;"",$Q35&gt;$Y35),"ACIMA REF.","")))))</f>
        <v>SEM VALOR</v>
      </c>
      <c r="V35" s="4" t="str">
        <f ca="1">IF(OR($A35=0,$A35="S",$A35&gt;CFF!$A$9),"",MAX(V$12:OFFSET(V35,-1,0))+1)</f>
        <v/>
      </c>
      <c r="W35" s="9" t="str">
        <f>IF(AND($J35="Serviço",$M35&lt;&gt;""),IF($L35="",$M35,CONCATENATE($L35,"-",$M35)))</f>
        <v>SINAPI-92800</v>
      </c>
      <c r="X35" s="4">
        <f ca="1">IF(AND(Fonte&lt;&gt;"",Código&lt;&gt;""),MATCH(Fonte&amp;" "&amp;IF(Fonte="sinapi",SUBSTITUTE(SUBSTITUTE(Código,"/00","/"),"/0","/"),Código),INDIRECT("'[Referência "&amp;_XLNM.DATABASE&amp;".xls]Banco'!$a:$a"),0),"X")</f>
        <v>2477</v>
      </c>
      <c r="Y35" s="121">
        <v>12.42</v>
      </c>
      <c r="Z35" s="132">
        <f ca="1">ROUND(IF(ISNUMBER(R35),R35,IF(LEFT(R35,3)="BDI",HLOOKUP(R35,DADOS!$T$37:$X$38,2,FALSE),0)),15-11*$X$5)</f>
        <v>0.2034</v>
      </c>
      <c r="AA35" s="4"/>
    </row>
    <row r="36" spans="1:27" ht="12.75" customHeight="1">
      <c r="A36" t="str">
        <f t="shared" si="0"/>
        <v>S</v>
      </c>
      <c r="B36">
        <f t="shared" si="1"/>
        <v>0</v>
      </c>
      <c r="C36">
        <f ca="1" t="shared" si="2"/>
        <v>2</v>
      </c>
      <c r="D36">
        <f ca="1" t="shared" si="3"/>
        <v>4</v>
      </c>
      <c r="E36">
        <f ca="1" t="shared" si="4"/>
        <v>0</v>
      </c>
      <c r="F36">
        <f ca="1" t="shared" si="5"/>
        <v>0</v>
      </c>
      <c r="G36">
        <f ca="1" t="shared" si="6"/>
        <v>4</v>
      </c>
      <c r="H36">
        <f ca="1" t="shared" si="7"/>
        <v>0</v>
      </c>
      <c r="I36">
        <f ca="1" t="shared" si="8"/>
        <v>0</v>
      </c>
      <c r="J36" s="394" t="s">
        <v>103</v>
      </c>
      <c r="K36" s="162" t="str">
        <f ca="1" t="shared" si="9"/>
        <v>2.4.4.</v>
      </c>
      <c r="L36" s="395" t="s">
        <v>234</v>
      </c>
      <c r="M36" s="397">
        <v>103682</v>
      </c>
      <c r="N36" s="398" t="s">
        <v>374</v>
      </c>
      <c r="O36" s="399" t="s">
        <v>249</v>
      </c>
      <c r="P36" s="225">
        <f ca="1">OFFSET(PLQ!$E$12,ROW($P36)-ROW(P$12),0)</f>
        <v>8.76</v>
      </c>
      <c r="Q36" s="229"/>
      <c r="R36" s="232" t="s">
        <v>7</v>
      </c>
      <c r="S36" s="121">
        <f t="shared" si="10"/>
        <v>0</v>
      </c>
      <c r="T36" s="98">
        <f ca="1" t="shared" si="11"/>
        <v>0</v>
      </c>
      <c r="U36" s="13" t="str">
        <f ca="1" t="shared" si="12"/>
        <v>SEM VALOR</v>
      </c>
      <c r="V36" s="4" t="str">
        <f ca="1">IF(OR($A36=0,$A36="S",$A36&gt;CFF!$A$9),"",MAX(V$12:OFFSET(V36,-1,0))+1)</f>
        <v/>
      </c>
      <c r="W36" s="9" t="str">
        <f t="shared" si="13"/>
        <v>SINAPI-103682</v>
      </c>
      <c r="X36" s="4">
        <f ca="1" t="shared" si="14"/>
        <v>2617</v>
      </c>
      <c r="Y36" s="121">
        <v>1126.07</v>
      </c>
      <c r="Z36" s="132">
        <f ca="1">ROUND(IF(ISNUMBER(R36),R36,IF(LEFT(R36,3)="BDI",HLOOKUP(R36,DADOS!$T$37:$X$38,2,FALSE),0)),15-11*$X$5)</f>
        <v>0.2034</v>
      </c>
      <c r="AA36" s="4"/>
    </row>
    <row r="37" spans="1:27" ht="12.75" customHeight="1">
      <c r="A37">
        <f t="shared" si="0"/>
        <v>1</v>
      </c>
      <c r="B37">
        <f ca="1" t="shared" si="1"/>
        <v>2</v>
      </c>
      <c r="C37">
        <f ca="1" t="shared" si="2"/>
        <v>3</v>
      </c>
      <c r="D37">
        <f ca="1" t="shared" si="3"/>
        <v>0</v>
      </c>
      <c r="E37">
        <f ca="1" t="shared" si="4"/>
        <v>0</v>
      </c>
      <c r="F37">
        <f ca="1" t="shared" si="5"/>
        <v>0</v>
      </c>
      <c r="G37">
        <f ca="1" t="shared" si="6"/>
        <v>0</v>
      </c>
      <c r="H37">
        <f ca="1" t="shared" si="7"/>
        <v>97</v>
      </c>
      <c r="I37">
        <f ca="1" t="shared" si="8"/>
        <v>2</v>
      </c>
      <c r="J37" s="394" t="s">
        <v>99</v>
      </c>
      <c r="K37" s="162" t="str">
        <f ca="1" t="shared" si="9"/>
        <v>3.</v>
      </c>
      <c r="L37" s="395"/>
      <c r="M37" s="395"/>
      <c r="N37" s="398" t="s">
        <v>265</v>
      </c>
      <c r="O37" s="399" t="s">
        <v>106</v>
      </c>
      <c r="P37" s="225">
        <f ca="1">OFFSET(PLQ!$E$12,ROW($P37)-ROW(P$12),0)</f>
        <v>0</v>
      </c>
      <c r="Q37" s="229"/>
      <c r="R37" s="232" t="s">
        <v>7</v>
      </c>
      <c r="S37" s="121">
        <f t="shared" si="10"/>
        <v>0</v>
      </c>
      <c r="T37" s="98">
        <f ca="1" t="shared" si="11"/>
        <v>0</v>
      </c>
      <c r="U37" s="13" t="str">
        <f ca="1" t="shared" si="12"/>
        <v>SEM VALOR</v>
      </c>
      <c r="V37" s="4">
        <f ca="1">IF(OR($A37=0,$A37="S",$A37&gt;CFF!$A$9),"",MAX(V$12:OFFSET(V37,-1,0))+1)</f>
        <v>7</v>
      </c>
      <c r="W37" s="9" t="b">
        <f t="shared" si="13"/>
        <v>0</v>
      </c>
      <c r="X37" s="4" t="str">
        <f ca="1" t="shared" si="14"/>
        <v>X</v>
      </c>
      <c r="Y37" s="121">
        <v>0</v>
      </c>
      <c r="Z37" s="132">
        <f ca="1">ROUND(IF(ISNUMBER(R37),R37,IF(LEFT(R37,3)="BDI",HLOOKUP(R37,DADOS!$T$37:$X$38,2,FALSE),0)),15-11*$X$5)</f>
        <v>0.2034</v>
      </c>
      <c r="AA37" s="4"/>
    </row>
    <row r="38" spans="1:27" ht="12.75" customHeight="1">
      <c r="A38" t="str">
        <f t="shared" si="0"/>
        <v>S</v>
      </c>
      <c r="B38">
        <f t="shared" si="1"/>
        <v>0</v>
      </c>
      <c r="C38">
        <f ca="1" t="shared" si="2"/>
        <v>3</v>
      </c>
      <c r="D38">
        <f ca="1" t="shared" si="3"/>
        <v>0</v>
      </c>
      <c r="E38">
        <f ca="1" t="shared" si="4"/>
        <v>0</v>
      </c>
      <c r="F38">
        <f ca="1" t="shared" si="5"/>
        <v>0</v>
      </c>
      <c r="G38">
        <f ca="1" t="shared" si="6"/>
        <v>1</v>
      </c>
      <c r="H38">
        <f ca="1" t="shared" si="7"/>
        <v>0</v>
      </c>
      <c r="I38">
        <f ca="1" t="shared" si="8"/>
        <v>0</v>
      </c>
      <c r="J38" s="394" t="s">
        <v>103</v>
      </c>
      <c r="K38" s="162" t="str">
        <f ca="1" t="shared" si="9"/>
        <v>3.0.1.</v>
      </c>
      <c r="L38" s="395" t="s">
        <v>234</v>
      </c>
      <c r="M38" s="397">
        <v>103325</v>
      </c>
      <c r="N38" s="398" t="s">
        <v>375</v>
      </c>
      <c r="O38" s="399" t="s">
        <v>248</v>
      </c>
      <c r="P38" s="225">
        <f ca="1">OFFSET(PLQ!$E$12,ROW($P38)-ROW(P$12),0)</f>
        <v>419.07</v>
      </c>
      <c r="Q38" s="229"/>
      <c r="R38" s="232" t="s">
        <v>7</v>
      </c>
      <c r="S38" s="121">
        <f t="shared" si="10"/>
        <v>0</v>
      </c>
      <c r="T38" s="98">
        <f ca="1" t="shared" si="11"/>
        <v>0</v>
      </c>
      <c r="U38" s="13" t="str">
        <f ca="1" t="shared" si="12"/>
        <v>SEM VALOR</v>
      </c>
      <c r="V38" s="4" t="str">
        <f ca="1">IF(OR($A38=0,$A38="S",$A38&gt;CFF!$A$9),"",MAX(V$12:OFFSET(V38,-1,0))+1)</f>
        <v/>
      </c>
      <c r="W38" s="9" t="str">
        <f t="shared" si="13"/>
        <v>SINAPI-103325</v>
      </c>
      <c r="X38" s="4">
        <f ca="1" t="shared" si="14"/>
        <v>5797</v>
      </c>
      <c r="Y38" s="121">
        <v>92.88</v>
      </c>
      <c r="Z38" s="132">
        <f ca="1">ROUND(IF(ISNUMBER(R38),R38,IF(LEFT(R38,3)="BDI",HLOOKUP(R38,DADOS!$T$37:$X$38,2,FALSE),0)),15-11*$X$5)</f>
        <v>0.2034</v>
      </c>
      <c r="AA38" s="4"/>
    </row>
    <row r="39" spans="1:27" ht="12.75" customHeight="1">
      <c r="A39">
        <f t="shared" si="0"/>
        <v>1</v>
      </c>
      <c r="B39">
        <f ca="1" t="shared" si="1"/>
        <v>4</v>
      </c>
      <c r="C39">
        <f ca="1" t="shared" si="2"/>
        <v>4</v>
      </c>
      <c r="D39">
        <f ca="1" t="shared" si="3"/>
        <v>0</v>
      </c>
      <c r="E39">
        <f ca="1" t="shared" si="4"/>
        <v>0</v>
      </c>
      <c r="F39">
        <f ca="1" t="shared" si="5"/>
        <v>0</v>
      </c>
      <c r="G39">
        <f ca="1" t="shared" si="6"/>
        <v>0</v>
      </c>
      <c r="H39">
        <f ca="1" t="shared" si="7"/>
        <v>95</v>
      </c>
      <c r="I39">
        <f ca="1" t="shared" si="8"/>
        <v>4</v>
      </c>
      <c r="J39" s="394" t="s">
        <v>99</v>
      </c>
      <c r="K39" s="162" t="str">
        <f ca="1" t="shared" si="9"/>
        <v>4.</v>
      </c>
      <c r="L39" s="395"/>
      <c r="M39" s="395"/>
      <c r="N39" s="398" t="s">
        <v>296</v>
      </c>
      <c r="O39" s="399" t="s">
        <v>106</v>
      </c>
      <c r="P39" s="225">
        <f ca="1">OFFSET(PLQ!$E$12,ROW($P39)-ROW(P$12),0)</f>
        <v>0</v>
      </c>
      <c r="Q39" s="229"/>
      <c r="R39" s="232" t="s">
        <v>7</v>
      </c>
      <c r="S39" s="121">
        <f t="shared" si="10"/>
        <v>0</v>
      </c>
      <c r="T39" s="98">
        <f ca="1" t="shared" si="11"/>
        <v>0</v>
      </c>
      <c r="U39" s="13" t="str">
        <f ca="1" t="shared" si="12"/>
        <v>SEM VALOR</v>
      </c>
      <c r="V39" s="4">
        <f ca="1">IF(OR($A39=0,$A39="S",$A39&gt;CFF!$A$9),"",MAX(V$12:OFFSET(V39,-1,0))+1)</f>
        <v>8</v>
      </c>
      <c r="W39" s="9" t="b">
        <f t="shared" si="13"/>
        <v>0</v>
      </c>
      <c r="X39" s="4" t="str">
        <f ca="1" t="shared" si="14"/>
        <v>X</v>
      </c>
      <c r="Y39" s="121">
        <v>0</v>
      </c>
      <c r="Z39" s="132">
        <f ca="1">ROUND(IF(ISNUMBER(R39),R39,IF(LEFT(R39,3)="BDI",HLOOKUP(R39,DADOS!$T$37:$X$38,2,FALSE),0)),15-11*$X$5)</f>
        <v>0.2034</v>
      </c>
      <c r="AA39" s="4"/>
    </row>
    <row r="40" spans="1:27" ht="12.75" customHeight="1">
      <c r="A40" t="str">
        <f t="shared" si="0"/>
        <v>S</v>
      </c>
      <c r="B40">
        <f t="shared" si="1"/>
        <v>0</v>
      </c>
      <c r="C40">
        <f ca="1" t="shared" si="2"/>
        <v>4</v>
      </c>
      <c r="D40">
        <f ca="1" t="shared" si="3"/>
        <v>0</v>
      </c>
      <c r="E40">
        <f ca="1" t="shared" si="4"/>
        <v>0</v>
      </c>
      <c r="F40">
        <f ca="1" t="shared" si="5"/>
        <v>0</v>
      </c>
      <c r="G40">
        <f ca="1" t="shared" si="6"/>
        <v>1</v>
      </c>
      <c r="H40">
        <f ca="1" t="shared" si="7"/>
        <v>0</v>
      </c>
      <c r="I40">
        <f ca="1" t="shared" si="8"/>
        <v>0</v>
      </c>
      <c r="J40" s="394" t="s">
        <v>103</v>
      </c>
      <c r="K40" s="162" t="str">
        <f ca="1" t="shared" si="9"/>
        <v>4.0.1.</v>
      </c>
      <c r="L40" s="396" t="s">
        <v>337</v>
      </c>
      <c r="M40" s="396" t="s">
        <v>361</v>
      </c>
      <c r="N40" s="398" t="s">
        <v>376</v>
      </c>
      <c r="O40" s="399" t="s">
        <v>448</v>
      </c>
      <c r="P40" s="225">
        <f ca="1">OFFSET(PLQ!$E$12,ROW($P40)-ROW(P$12),0)</f>
        <v>9</v>
      </c>
      <c r="Q40" s="229"/>
      <c r="R40" s="232" t="s">
        <v>7</v>
      </c>
      <c r="S40" s="121">
        <f t="shared" si="10"/>
        <v>0</v>
      </c>
      <c r="T40" s="98">
        <f ca="1" t="shared" si="11"/>
        <v>0</v>
      </c>
      <c r="U40" s="13" t="str">
        <f ca="1" t="shared" si="12"/>
        <v>SEM VALOR</v>
      </c>
      <c r="V40" s="4" t="str">
        <f ca="1">IF(OR($A40=0,$A40="S",$A40&gt;CFF!$A$9),"",MAX(V$12:OFFSET(V40,-1,0))+1)</f>
        <v/>
      </c>
      <c r="W40" s="9" t="str">
        <f t="shared" si="13"/>
        <v>COMPOSIÇÃO-2</v>
      </c>
      <c r="X40" s="4">
        <f ca="1" t="shared" si="14"/>
        <v>8</v>
      </c>
      <c r="Y40" s="121">
        <v>7617.74</v>
      </c>
      <c r="Z40" s="132">
        <f ca="1">ROUND(IF(ISNUMBER(R40),R40,IF(LEFT(R40,3)="BDI",HLOOKUP(R40,DADOS!$T$37:$X$38,2,FALSE),0)),15-11*$X$5)</f>
        <v>0.2034</v>
      </c>
      <c r="AA40" s="4"/>
    </row>
    <row r="41" spans="1:27" ht="12.75" customHeight="1">
      <c r="A41" t="str">
        <f t="shared" si="0"/>
        <v>S</v>
      </c>
      <c r="B41">
        <f t="shared" si="1"/>
        <v>0</v>
      </c>
      <c r="C41">
        <f ca="1" t="shared" si="2"/>
        <v>4</v>
      </c>
      <c r="D41">
        <f ca="1" t="shared" si="3"/>
        <v>0</v>
      </c>
      <c r="E41">
        <f ca="1" t="shared" si="4"/>
        <v>0</v>
      </c>
      <c r="F41">
        <f ca="1" t="shared" si="5"/>
        <v>0</v>
      </c>
      <c r="G41">
        <f ca="1" t="shared" si="6"/>
        <v>2</v>
      </c>
      <c r="H41">
        <f ca="1" t="shared" si="7"/>
        <v>0</v>
      </c>
      <c r="I41">
        <f ca="1" t="shared" si="8"/>
        <v>0</v>
      </c>
      <c r="J41" s="394" t="s">
        <v>103</v>
      </c>
      <c r="K41" s="162" t="str">
        <f ca="1" t="shared" si="9"/>
        <v>4.0.2.</v>
      </c>
      <c r="L41" s="395" t="s">
        <v>234</v>
      </c>
      <c r="M41" s="395" t="s">
        <v>297</v>
      </c>
      <c r="N41" s="398" t="s">
        <v>377</v>
      </c>
      <c r="O41" s="399" t="s">
        <v>248</v>
      </c>
      <c r="P41" s="225">
        <f ca="1">OFFSET(PLQ!$E$12,ROW($P41)-ROW(P$12),0)</f>
        <v>1324.8</v>
      </c>
      <c r="Q41" s="229"/>
      <c r="R41" s="232" t="s">
        <v>7</v>
      </c>
      <c r="S41" s="121">
        <f t="shared" si="10"/>
        <v>0</v>
      </c>
      <c r="T41" s="98">
        <f ca="1" t="shared" si="11"/>
        <v>0</v>
      </c>
      <c r="U41" s="13" t="str">
        <f ca="1" t="shared" si="12"/>
        <v>SEM VALOR</v>
      </c>
      <c r="V41" s="4" t="str">
        <f ca="1">IF(OR($A41=0,$A41="S",$A41&gt;CFF!$A$9),"",MAX(V$12:OFFSET(V41,-1,0))+1)</f>
        <v/>
      </c>
      <c r="W41" s="9" t="str">
        <f t="shared" si="13"/>
        <v>SINAPI-92580</v>
      </c>
      <c r="X41" s="4">
        <f ca="1" t="shared" si="14"/>
        <v>1437</v>
      </c>
      <c r="Y41" s="121">
        <v>74.91</v>
      </c>
      <c r="Z41" s="132">
        <f ca="1">ROUND(IF(ISNUMBER(R41),R41,IF(LEFT(R41,3)="BDI",HLOOKUP(R41,DADOS!$T$37:$X$38,2,FALSE),0)),15-11*$X$5)</f>
        <v>0.2034</v>
      </c>
      <c r="AA41" s="4"/>
    </row>
    <row r="42" spans="1:27" ht="12.75" customHeight="1">
      <c r="A42" t="str">
        <f t="shared" si="0"/>
        <v>S</v>
      </c>
      <c r="B42">
        <f t="shared" si="1"/>
        <v>0</v>
      </c>
      <c r="C42">
        <f ca="1" t="shared" si="2"/>
        <v>4</v>
      </c>
      <c r="D42">
        <f ca="1" t="shared" si="3"/>
        <v>0</v>
      </c>
      <c r="E42">
        <f ca="1" t="shared" si="4"/>
        <v>0</v>
      </c>
      <c r="F42">
        <f ca="1" t="shared" si="5"/>
        <v>0</v>
      </c>
      <c r="G42">
        <f ca="1" t="shared" si="6"/>
        <v>3</v>
      </c>
      <c r="H42">
        <f ca="1" t="shared" si="7"/>
        <v>0</v>
      </c>
      <c r="I42">
        <f ca="1" t="shared" si="8"/>
        <v>0</v>
      </c>
      <c r="J42" s="394" t="s">
        <v>103</v>
      </c>
      <c r="K42" s="162" t="str">
        <f ca="1" t="shared" si="9"/>
        <v>4.0.3.</v>
      </c>
      <c r="L42" s="395" t="s">
        <v>234</v>
      </c>
      <c r="M42" s="395" t="s">
        <v>338</v>
      </c>
      <c r="N42" s="398" t="s">
        <v>378</v>
      </c>
      <c r="O42" s="399" t="s">
        <v>248</v>
      </c>
      <c r="P42" s="225">
        <f ca="1">OFFSET(PLQ!$E$12,ROW($P42)-ROW(P$12),0)</f>
        <v>1324.8</v>
      </c>
      <c r="Q42" s="229"/>
      <c r="R42" s="232" t="s">
        <v>7</v>
      </c>
      <c r="S42" s="121">
        <f t="shared" si="10"/>
        <v>0</v>
      </c>
      <c r="T42" s="98">
        <f ca="1" t="shared" si="11"/>
        <v>0</v>
      </c>
      <c r="U42" s="13" t="str">
        <f ca="1" t="shared" si="12"/>
        <v>SEM VALOR</v>
      </c>
      <c r="V42" s="4" t="str">
        <f ca="1">IF(OR($A42=0,$A42="S",$A42&gt;CFF!$A$9),"",MAX(V$12:OFFSET(V42,-1,0))+1)</f>
        <v/>
      </c>
      <c r="W42" s="9" t="str">
        <f t="shared" si="13"/>
        <v>SINAPI-94216</v>
      </c>
      <c r="X42" s="4">
        <f ca="1" t="shared" si="14"/>
        <v>1401</v>
      </c>
      <c r="Y42" s="121">
        <v>208.1</v>
      </c>
      <c r="Z42" s="132">
        <f ca="1">ROUND(IF(ISNUMBER(R42),R42,IF(LEFT(R42,3)="BDI",HLOOKUP(R42,DADOS!$T$37:$X$38,2,FALSE),0)),15-11*$X$5)</f>
        <v>0.2034</v>
      </c>
      <c r="AA42" s="4"/>
    </row>
    <row r="43" spans="1:27" ht="12.75" customHeight="1">
      <c r="A43">
        <f t="shared" si="0"/>
        <v>1</v>
      </c>
      <c r="B43">
        <f ca="1" t="shared" si="1"/>
        <v>2</v>
      </c>
      <c r="C43">
        <f ca="1" t="shared" si="2"/>
        <v>5</v>
      </c>
      <c r="D43">
        <f ca="1" t="shared" si="3"/>
        <v>0</v>
      </c>
      <c r="E43">
        <f ca="1" t="shared" si="4"/>
        <v>0</v>
      </c>
      <c r="F43">
        <f ca="1" t="shared" si="5"/>
        <v>0</v>
      </c>
      <c r="G43">
        <f ca="1" t="shared" si="6"/>
        <v>0</v>
      </c>
      <c r="H43">
        <f ca="1" t="shared" si="7"/>
        <v>91</v>
      </c>
      <c r="I43">
        <f ca="1" t="shared" si="8"/>
        <v>2</v>
      </c>
      <c r="J43" s="394" t="s">
        <v>99</v>
      </c>
      <c r="K43" s="162" t="str">
        <f ca="1" t="shared" si="9"/>
        <v>5.</v>
      </c>
      <c r="L43" s="395"/>
      <c r="M43" s="395"/>
      <c r="N43" s="398" t="s">
        <v>295</v>
      </c>
      <c r="O43" s="399" t="s">
        <v>106</v>
      </c>
      <c r="P43" s="225">
        <f ca="1">OFFSET(PLQ!$E$12,ROW($P43)-ROW(P$12),0)</f>
        <v>0</v>
      </c>
      <c r="Q43" s="229"/>
      <c r="R43" s="232" t="s">
        <v>7</v>
      </c>
      <c r="S43" s="121">
        <f t="shared" si="10"/>
        <v>0</v>
      </c>
      <c r="T43" s="98">
        <f ca="1" t="shared" si="11"/>
        <v>0</v>
      </c>
      <c r="U43" s="13" t="str">
        <f ca="1" t="shared" si="12"/>
        <v>SEM VALOR</v>
      </c>
      <c r="V43" s="4">
        <f ca="1">IF(OR($A43=0,$A43="S",$A43&gt;CFF!$A$9),"",MAX(V$12:OFFSET(V43,-1,0))+1)</f>
        <v>9</v>
      </c>
      <c r="W43" s="9" t="b">
        <f t="shared" si="13"/>
        <v>0</v>
      </c>
      <c r="X43" s="4" t="str">
        <f ca="1" t="shared" si="14"/>
        <v>X</v>
      </c>
      <c r="Y43" s="121">
        <v>0</v>
      </c>
      <c r="Z43" s="132">
        <f ca="1">ROUND(IF(ISNUMBER(R43),R43,IF(LEFT(R43,3)="BDI",HLOOKUP(R43,DADOS!$T$37:$X$38,2,FALSE),0)),15-11*$X$5)</f>
        <v>0.2034</v>
      </c>
      <c r="AA43" s="4"/>
    </row>
    <row r="44" spans="1:27" ht="12.75" customHeight="1">
      <c r="A44" t="str">
        <f t="shared" si="0"/>
        <v>S</v>
      </c>
      <c r="B44">
        <f t="shared" si="1"/>
        <v>0</v>
      </c>
      <c r="C44">
        <f ca="1" t="shared" si="2"/>
        <v>5</v>
      </c>
      <c r="D44">
        <f ca="1" t="shared" si="3"/>
        <v>0</v>
      </c>
      <c r="E44">
        <f ca="1" t="shared" si="4"/>
        <v>0</v>
      </c>
      <c r="F44">
        <f ca="1" t="shared" si="5"/>
        <v>0</v>
      </c>
      <c r="G44">
        <f ca="1" t="shared" si="6"/>
        <v>1</v>
      </c>
      <c r="H44">
        <f ca="1" t="shared" si="7"/>
        <v>0</v>
      </c>
      <c r="I44">
        <f ca="1" t="shared" si="8"/>
        <v>0</v>
      </c>
      <c r="J44" s="394" t="s">
        <v>103</v>
      </c>
      <c r="K44" s="162" t="str">
        <f ca="1" t="shared" si="9"/>
        <v>5.0.1.</v>
      </c>
      <c r="L44" s="395" t="s">
        <v>234</v>
      </c>
      <c r="M44" s="395" t="s">
        <v>360</v>
      </c>
      <c r="N44" s="398" t="s">
        <v>379</v>
      </c>
      <c r="O44" s="399" t="s">
        <v>248</v>
      </c>
      <c r="P44" s="225">
        <f ca="1">OFFSET(PLQ!$E$12,ROW($P44)-ROW(P$12),0)</f>
        <v>289.6</v>
      </c>
      <c r="Q44" s="229"/>
      <c r="R44" s="232" t="s">
        <v>7</v>
      </c>
      <c r="S44" s="121">
        <f t="shared" si="10"/>
        <v>0</v>
      </c>
      <c r="T44" s="98">
        <f ca="1" t="shared" si="11"/>
        <v>0</v>
      </c>
      <c r="U44" s="13" t="str">
        <f ca="1" t="shared" si="12"/>
        <v>SEM VALOR</v>
      </c>
      <c r="V44" s="4" t="str">
        <f ca="1">IF(OR($A44=0,$A44="S",$A44&gt;CFF!$A$9),"",MAX(V$12:OFFSET(V44,-1,0))+1)</f>
        <v/>
      </c>
      <c r="W44" s="9" t="str">
        <f t="shared" si="13"/>
        <v>SINAPI-98555</v>
      </c>
      <c r="X44" s="4">
        <f ca="1" t="shared" si="14"/>
        <v>2733</v>
      </c>
      <c r="Y44" s="121">
        <v>38.17</v>
      </c>
      <c r="Z44" s="132">
        <f ca="1">ROUND(IF(ISNUMBER(R44),R44,IF(LEFT(R44,3)="BDI",HLOOKUP(R44,DADOS!$T$37:$X$38,2,FALSE),0)),15-11*$X$5)</f>
        <v>0.2034</v>
      </c>
      <c r="AA44" s="4"/>
    </row>
    <row r="45" spans="1:27" ht="12.75" customHeight="1">
      <c r="A45">
        <f>CHOOSE(1+LOG(1+2*(J45="Meta")+4*(J45="Nível 2")+8*(J45="Nível 3")+16*(J45="Nível 4")+32*(J45="Serviço"),2),0,1,2,3,4,"S")</f>
        <v>1</v>
      </c>
      <c r="B45">
        <f ca="1">IF(OR(A45="S",A45=0),0,IF(ISERROR(I45),H45,SMALL(H45:I45,1)))</f>
        <v>4</v>
      </c>
      <c r="C45">
        <f ca="1">IF($A45=1,OFFSET(C45,-1,0)+1,OFFSET(C45,-1,0))</f>
        <v>6</v>
      </c>
      <c r="D45">
        <f ca="1">IF($A45=1,0,IF($A45=2,OFFSET(D45,-1,0)+1,OFFSET(D45,-1,0)))</f>
        <v>0</v>
      </c>
      <c r="E45">
        <f ca="1">IF(AND($A45&lt;=2,$A45&lt;&gt;0),0,IF($A45=3,OFFSET(E45,-1,0)+1,OFFSET(E45,-1,0)))</f>
        <v>0</v>
      </c>
      <c r="F45">
        <f ca="1">IF(AND($A45&lt;=3,$A45&lt;&gt;0),0,IF($A45=4,OFFSET(F45,-1,0)+1,OFFSET(F45,-1,0)))</f>
        <v>0</v>
      </c>
      <c r="G45">
        <f ca="1">IF(AND($A45&lt;=4,$A45&lt;&gt;0),0,IF($A45="S",OFFSET(G45,-1,0)+1,OFFSET(G45,-1,0)))</f>
        <v>0</v>
      </c>
      <c r="H45">
        <f ca="1" t="shared" si="7"/>
        <v>89</v>
      </c>
      <c r="I45">
        <f ca="1" t="shared" si="8"/>
        <v>4</v>
      </c>
      <c r="J45" s="394" t="s">
        <v>99</v>
      </c>
      <c r="K45" s="162" t="str">
        <f ca="1">IF($A45=0,"-",CONCATENATE(C45&amp;".",IF(AND($A$5&gt;=2,$A45&gt;=2),D45&amp;".",""),IF(AND($A$5&gt;=3,$A45&gt;=3),E45&amp;".",""),IF(AND($A$5&gt;=4,$A45&gt;=4),F45&amp;".",""),IF($A45="S",G45&amp;".","")))</f>
        <v>6.</v>
      </c>
      <c r="L45" s="395"/>
      <c r="M45" s="395"/>
      <c r="N45" s="398" t="s">
        <v>332</v>
      </c>
      <c r="O45" s="399" t="s">
        <v>106</v>
      </c>
      <c r="P45" s="225">
        <f ca="1">OFFSET(PLQ!$E$12,ROW($P45)-ROW(P$12),0)</f>
        <v>0</v>
      </c>
      <c r="Q45" s="229"/>
      <c r="R45" s="232" t="s">
        <v>7</v>
      </c>
      <c r="S45" s="121">
        <f>IF($A45="S",IF($Q$10="Preço Unitário (R$)",PO.CustoUnitario,ROUND(PO.CustoUnitario*(1+$Z45),15-13*$X$6)),0)</f>
        <v>0</v>
      </c>
      <c r="T45" s="98">
        <f ca="1">IF($A45="S",VTOTAL1,IF($A45=0,0,ROUND(SomaAgrup,15-13*$X$7)))</f>
        <v>0</v>
      </c>
      <c r="U45" s="13" t="str">
        <f ca="1">IF($J45="","",IF($N45="","DESCRIÇÃO",IF(AND($J45="Serviço",$O45=""),"UNIDADE",IF($T45&lt;=0,"SEM VALOR",IF(AND($Y45&lt;&gt;"",$Q45&gt;$Y45),"ACIMA REF.","")))))</f>
        <v>SEM VALOR</v>
      </c>
      <c r="V45" s="4">
        <f ca="1">IF(OR($A45=0,$A45="S",$A45&gt;CFF!$A$9),"",MAX(V$12:OFFSET(V45,-1,0))+1)</f>
        <v>10</v>
      </c>
      <c r="W45" s="9" t="b">
        <f>IF(AND($J45="Serviço",$M45&lt;&gt;""),IF($L45="",$M45,CONCATENATE($L45,"-",$M45)))</f>
        <v>0</v>
      </c>
      <c r="X45" s="4" t="str">
        <f ca="1">IF(AND(Fonte&lt;&gt;"",Código&lt;&gt;""),MATCH(Fonte&amp;" "&amp;IF(Fonte="sinapi",SUBSTITUTE(SUBSTITUTE(Código,"/00","/"),"/0","/"),Código),INDIRECT("'[Referência "&amp;_XLNM.DATABASE&amp;".xls]Banco'!$a:$a"),0),"X")</f>
        <v>X</v>
      </c>
      <c r="Y45" s="121">
        <v>0</v>
      </c>
      <c r="Z45" s="132">
        <f ca="1">ROUND(IF(ISNUMBER(R45),R45,IF(LEFT(R45,3)="BDI",HLOOKUP(R45,DADOS!$T$37:$X$38,2,FALSE),0)),15-11*$X$5)</f>
        <v>0.2034</v>
      </c>
      <c r="AA45" s="4"/>
    </row>
    <row r="46" spans="1:27" ht="12.75" customHeight="1">
      <c r="A46" t="str">
        <f t="shared" si="0"/>
        <v>S</v>
      </c>
      <c r="B46">
        <f t="shared" si="1"/>
        <v>0</v>
      </c>
      <c r="C46">
        <f ca="1" t="shared" si="2"/>
        <v>6</v>
      </c>
      <c r="D46">
        <f ca="1" t="shared" si="3"/>
        <v>0</v>
      </c>
      <c r="E46">
        <f ca="1" t="shared" si="4"/>
        <v>0</v>
      </c>
      <c r="F46">
        <f ca="1" t="shared" si="5"/>
        <v>0</v>
      </c>
      <c r="G46">
        <f ca="1" t="shared" si="6"/>
        <v>1</v>
      </c>
      <c r="H46">
        <f ca="1" t="shared" si="7"/>
        <v>0</v>
      </c>
      <c r="I46">
        <f ca="1" t="shared" si="8"/>
        <v>0</v>
      </c>
      <c r="J46" s="394" t="s">
        <v>103</v>
      </c>
      <c r="K46" s="162" t="str">
        <f ca="1" t="shared" si="9"/>
        <v>6.0.1.</v>
      </c>
      <c r="L46" s="395" t="s">
        <v>234</v>
      </c>
      <c r="M46" s="397">
        <v>87904</v>
      </c>
      <c r="N46" s="398" t="s">
        <v>253</v>
      </c>
      <c r="O46" s="399" t="s">
        <v>248</v>
      </c>
      <c r="P46" s="225">
        <f ca="1">OFFSET(PLQ!$E$12,ROW($P46)-ROW(P$12),0)</f>
        <v>258.58</v>
      </c>
      <c r="Q46" s="229"/>
      <c r="R46" s="232" t="s">
        <v>7</v>
      </c>
      <c r="S46" s="121">
        <f t="shared" si="10"/>
        <v>0</v>
      </c>
      <c r="T46" s="98">
        <f ca="1" t="shared" si="11"/>
        <v>0</v>
      </c>
      <c r="U46" s="13" t="str">
        <f ca="1" t="shared" si="12"/>
        <v>SEM VALOR</v>
      </c>
      <c r="V46" s="4" t="str">
        <f ca="1">IF(OR($A46=0,$A46="S",$A46&gt;CFF!$A$9),"",MAX(V$12:OFFSET(V46,-1,0))+1)</f>
        <v/>
      </c>
      <c r="W46" s="9" t="str">
        <f t="shared" si="13"/>
        <v>SINAPI-87904</v>
      </c>
      <c r="X46" s="4">
        <f ca="1" t="shared" si="14"/>
        <v>6333</v>
      </c>
      <c r="Y46" s="121">
        <v>9.98</v>
      </c>
      <c r="Z46" s="132">
        <f ca="1">ROUND(IF(ISNUMBER(R46),R46,IF(LEFT(R46,3)="BDI",HLOOKUP(R46,DADOS!$T$37:$X$38,2,FALSE),0)),15-11*$X$5)</f>
        <v>0.2034</v>
      </c>
      <c r="AA46" s="4"/>
    </row>
    <row r="47" spans="1:27" ht="12.75" customHeight="1">
      <c r="A47" t="str">
        <f t="shared" si="0"/>
        <v>S</v>
      </c>
      <c r="B47">
        <f t="shared" si="1"/>
        <v>0</v>
      </c>
      <c r="C47">
        <f ca="1" t="shared" si="2"/>
        <v>6</v>
      </c>
      <c r="D47">
        <f ca="1" t="shared" si="3"/>
        <v>0</v>
      </c>
      <c r="E47">
        <f ca="1" t="shared" si="4"/>
        <v>0</v>
      </c>
      <c r="F47">
        <f ca="1" t="shared" si="5"/>
        <v>0</v>
      </c>
      <c r="G47">
        <f ca="1" t="shared" si="6"/>
        <v>2</v>
      </c>
      <c r="H47">
        <f ca="1" t="shared" si="7"/>
        <v>0</v>
      </c>
      <c r="I47">
        <f ca="1" t="shared" si="8"/>
        <v>0</v>
      </c>
      <c r="J47" s="394" t="s">
        <v>103</v>
      </c>
      <c r="K47" s="162" t="str">
        <f ca="1" t="shared" si="9"/>
        <v>6.0.2.</v>
      </c>
      <c r="L47" s="395" t="s">
        <v>234</v>
      </c>
      <c r="M47" s="397">
        <v>87775</v>
      </c>
      <c r="N47" s="398" t="s">
        <v>254</v>
      </c>
      <c r="O47" s="399" t="s">
        <v>248</v>
      </c>
      <c r="P47" s="225">
        <f ca="1">OFFSET(PLQ!$E$12,ROW($P47)-ROW(P$12),0)</f>
        <v>258.58</v>
      </c>
      <c r="Q47" s="229"/>
      <c r="R47" s="232" t="s">
        <v>7</v>
      </c>
      <c r="S47" s="121">
        <f t="shared" si="10"/>
        <v>0</v>
      </c>
      <c r="T47" s="98">
        <f ca="1" t="shared" si="11"/>
        <v>0</v>
      </c>
      <c r="U47" s="13" t="str">
        <f ca="1" t="shared" si="12"/>
        <v>SEM VALOR</v>
      </c>
      <c r="V47" s="4" t="str">
        <f ca="1">IF(OR($A47=0,$A47="S",$A47&gt;CFF!$A$9),"",MAX(V$12:OFFSET(V47,-1,0))+1)</f>
        <v/>
      </c>
      <c r="W47" s="9" t="str">
        <f t="shared" si="13"/>
        <v>SINAPI-87775</v>
      </c>
      <c r="X47" s="4">
        <f ca="1" t="shared" si="14"/>
        <v>6381</v>
      </c>
      <c r="Y47" s="121">
        <v>63.8</v>
      </c>
      <c r="Z47" s="132">
        <f ca="1">ROUND(IF(ISNUMBER(R47),R47,IF(LEFT(R47,3)="BDI",HLOOKUP(R47,DADOS!$T$37:$X$38,2,FALSE),0)),15-11*$X$5)</f>
        <v>0.2034</v>
      </c>
      <c r="AA47" s="4"/>
    </row>
    <row r="48" spans="1:27" ht="12.75" customHeight="1">
      <c r="A48" t="str">
        <f>CHOOSE(1+LOG(1+2*(J48="Meta")+4*(J48="Nível 2")+8*(J48="Nível 3")+16*(J48="Nível 4")+32*(J48="Serviço"),2),0,1,2,3,4,"S")</f>
        <v>S</v>
      </c>
      <c r="B48">
        <f>IF(OR(A48="S",A48=0),0,IF(ISERROR(I48),H48,SMALL(H48:I48,1)))</f>
        <v>0</v>
      </c>
      <c r="C48">
        <f ca="1">IF($A48=1,OFFSET(C48,-1,0)+1,OFFSET(C48,-1,0))</f>
        <v>6</v>
      </c>
      <c r="D48">
        <f ca="1">IF($A48=1,0,IF($A48=2,OFFSET(D48,-1,0)+1,OFFSET(D48,-1,0)))</f>
        <v>0</v>
      </c>
      <c r="E48">
        <f ca="1">IF(AND($A48&lt;=2,$A48&lt;&gt;0),0,IF($A48=3,OFFSET(E48,-1,0)+1,OFFSET(E48,-1,0)))</f>
        <v>0</v>
      </c>
      <c r="F48">
        <f ca="1">IF(AND($A48&lt;=3,$A48&lt;&gt;0),0,IF($A48=4,OFFSET(F48,-1,0)+1,OFFSET(F48,-1,0)))</f>
        <v>0</v>
      </c>
      <c r="G48">
        <f ca="1">IF(AND($A48&lt;=4,$A48&lt;&gt;0),0,IF($A48="S",OFFSET(G48,-1,0)+1,OFFSET(G48,-1,0)))</f>
        <v>3</v>
      </c>
      <c r="H48">
        <f ca="1" t="shared" si="7"/>
        <v>0</v>
      </c>
      <c r="I48">
        <f ca="1" t="shared" si="8"/>
        <v>0</v>
      </c>
      <c r="J48" s="394" t="s">
        <v>103</v>
      </c>
      <c r="K48" s="162" t="str">
        <f ca="1">IF($A48=0,"-",CONCATENATE(C48&amp;".",IF(AND($A$5&gt;=2,$A48&gt;=2),D48&amp;".",""),IF(AND($A$5&gt;=3,$A48&gt;=3),E48&amp;".",""),IF(AND($A$5&gt;=4,$A48&gt;=4),F48&amp;".",""),IF($A48="S",G48&amp;".","")))</f>
        <v>6.0.3.</v>
      </c>
      <c r="L48" s="395" t="s">
        <v>234</v>
      </c>
      <c r="M48" s="395" t="s">
        <v>331</v>
      </c>
      <c r="N48" s="398" t="s">
        <v>380</v>
      </c>
      <c r="O48" s="399" t="s">
        <v>248</v>
      </c>
      <c r="P48" s="225">
        <f ca="1">OFFSET(PLQ!$E$12,ROW($P48)-ROW(P$12),0)</f>
        <v>258.58</v>
      </c>
      <c r="Q48" s="229"/>
      <c r="R48" s="232" t="s">
        <v>7</v>
      </c>
      <c r="S48" s="121">
        <f aca="true" t="shared" si="15" ref="S48">IF($A48="S",IF($Q$10="Preço Unitário (R$)",PO.CustoUnitario,ROUND(PO.CustoUnitario*(1+$Z48),15-13*$X$6)),0)</f>
        <v>0</v>
      </c>
      <c r="T48" s="98">
        <f aca="true" ca="1" t="shared" si="16" ref="T48">IF($A48="S",VTOTAL1,IF($A48=0,0,ROUND(SomaAgrup,15-13*$X$7)))</f>
        <v>0</v>
      </c>
      <c r="U48" s="13" t="str">
        <f ca="1">IF($J48="","",IF($N48="","DESCRIÇÃO",IF(AND($J48="Serviço",$O48=""),"UNIDADE",IF($T48&lt;=0,"SEM VALOR",IF(AND($Y48&lt;&gt;"",$Q48&gt;$Y48),"ACIMA REF.","")))))</f>
        <v>SEM VALOR</v>
      </c>
      <c r="V48" s="4" t="str">
        <f ca="1">IF(OR($A48=0,$A48="S",$A48&gt;CFF!$A$9),"",MAX(V$12:OFFSET(V48,-1,0))+1)</f>
        <v/>
      </c>
      <c r="W48" s="9" t="str">
        <f>IF(AND($J48="Serviço",$M48&lt;&gt;""),IF($L48="",$M48,CONCATENATE($L48,"-",$M48)))</f>
        <v>SINAPI-87269</v>
      </c>
      <c r="X48" s="4">
        <f aca="true" t="shared" si="17" ref="X48">IF(AND(Fonte&lt;&gt;"",Código&lt;&gt;""),MATCH(Fonte&amp;" "&amp;IF(Fonte="sinapi",SUBSTITUTE(SUBSTITUTE(Código,"/00","/"),"/0","/"),Código),INDIRECT("'[Referência "&amp;_XLNM.DATABASE&amp;".xls]Banco'!$a:$a"),0),"X")</f>
        <v>6532</v>
      </c>
      <c r="Y48" s="121">
        <v>75.78</v>
      </c>
      <c r="Z48" s="132">
        <f ca="1">ROUND(IF(ISNUMBER(R48),R48,IF(LEFT(R48,3)="BDI",HLOOKUP(R48,DADOS!$T$37:$X$38,2,FALSE),0)),15-11*$X$5)</f>
        <v>0.2034</v>
      </c>
      <c r="AA48" s="4"/>
    </row>
    <row r="49" spans="1:27" ht="12.75" customHeight="1">
      <c r="A49">
        <f t="shared" si="0"/>
        <v>1</v>
      </c>
      <c r="B49">
        <f ca="1" t="shared" si="1"/>
        <v>9</v>
      </c>
      <c r="C49">
        <f ca="1" t="shared" si="2"/>
        <v>7</v>
      </c>
      <c r="D49">
        <f ca="1" t="shared" si="3"/>
        <v>0</v>
      </c>
      <c r="E49">
        <f ca="1" t="shared" si="4"/>
        <v>0</v>
      </c>
      <c r="F49">
        <f ca="1" t="shared" si="5"/>
        <v>0</v>
      </c>
      <c r="G49">
        <f ca="1" t="shared" si="6"/>
        <v>0</v>
      </c>
      <c r="H49">
        <f ca="1" t="shared" si="7"/>
        <v>85</v>
      </c>
      <c r="I49">
        <f ca="1" t="shared" si="8"/>
        <v>9</v>
      </c>
      <c r="J49" s="394" t="s">
        <v>99</v>
      </c>
      <c r="K49" s="162" t="str">
        <f ca="1" t="shared" si="9"/>
        <v>7.</v>
      </c>
      <c r="L49" s="395"/>
      <c r="M49" s="395"/>
      <c r="N49" s="398" t="s">
        <v>262</v>
      </c>
      <c r="O49" s="399" t="s">
        <v>106</v>
      </c>
      <c r="P49" s="225">
        <f ca="1">OFFSET(PLQ!$E$12,ROW($P49)-ROW(P$12),0)</f>
        <v>0</v>
      </c>
      <c r="Q49" s="229"/>
      <c r="R49" s="232" t="s">
        <v>7</v>
      </c>
      <c r="S49" s="121">
        <f t="shared" si="10"/>
        <v>0</v>
      </c>
      <c r="T49" s="98">
        <f ca="1" t="shared" si="11"/>
        <v>0</v>
      </c>
      <c r="U49" s="13" t="str">
        <f ca="1" t="shared" si="12"/>
        <v>SEM VALOR</v>
      </c>
      <c r="V49" s="4">
        <f ca="1">IF(OR($A49=0,$A49="S",$A49&gt;CFF!$A$9),"",MAX(V$12:OFFSET(V49,-1,0))+1)</f>
        <v>11</v>
      </c>
      <c r="W49" s="9" t="b">
        <f t="shared" si="13"/>
        <v>0</v>
      </c>
      <c r="X49" s="4" t="str">
        <f ca="1" t="shared" si="14"/>
        <v>X</v>
      </c>
      <c r="Y49" s="121">
        <v>0</v>
      </c>
      <c r="Z49" s="132">
        <f ca="1">ROUND(IF(ISNUMBER(R49),R49,IF(LEFT(R49,3)="BDI",HLOOKUP(R49,DADOS!$T$37:$X$38,2,FALSE),0)),15-11*$X$5)</f>
        <v>0.2034</v>
      </c>
      <c r="AA49" s="4"/>
    </row>
    <row r="50" spans="1:27" ht="12.75" customHeight="1">
      <c r="A50" t="str">
        <f t="shared" si="0"/>
        <v>S</v>
      </c>
      <c r="B50">
        <f t="shared" si="1"/>
        <v>0</v>
      </c>
      <c r="C50">
        <f ca="1" t="shared" si="2"/>
        <v>7</v>
      </c>
      <c r="D50">
        <f ca="1" t="shared" si="3"/>
        <v>0</v>
      </c>
      <c r="E50">
        <f ca="1" t="shared" si="4"/>
        <v>0</v>
      </c>
      <c r="F50">
        <f ca="1" t="shared" si="5"/>
        <v>0</v>
      </c>
      <c r="G50">
        <f ca="1" t="shared" si="6"/>
        <v>1</v>
      </c>
      <c r="H50">
        <f ca="1" t="shared" si="7"/>
        <v>0</v>
      </c>
      <c r="I50">
        <f ca="1" t="shared" si="8"/>
        <v>0</v>
      </c>
      <c r="J50" s="394" t="s">
        <v>103</v>
      </c>
      <c r="K50" s="162" t="str">
        <f ca="1" t="shared" si="9"/>
        <v>7.0.1.</v>
      </c>
      <c r="L50" s="395" t="s">
        <v>239</v>
      </c>
      <c r="M50" s="395" t="s">
        <v>268</v>
      </c>
      <c r="N50" s="398" t="s">
        <v>381</v>
      </c>
      <c r="O50" s="399" t="s">
        <v>449</v>
      </c>
      <c r="P50" s="225">
        <f ca="1">OFFSET(PLQ!$E$12,ROW($P50)-ROW(P$12),0)</f>
        <v>114</v>
      </c>
      <c r="Q50" s="229"/>
      <c r="R50" s="232" t="s">
        <v>7</v>
      </c>
      <c r="S50" s="121">
        <f t="shared" si="10"/>
        <v>0</v>
      </c>
      <c r="T50" s="98">
        <f ca="1" t="shared" si="11"/>
        <v>0</v>
      </c>
      <c r="U50" s="13" t="str">
        <f ca="1" t="shared" si="12"/>
        <v>SEM VALOR</v>
      </c>
      <c r="V50" s="4" t="str">
        <f ca="1">IF(OR($A50=0,$A50="S",$A50&gt;CFF!$A$9),"",MAX(V$12:OFFSET(V50,-1,0))+1)</f>
        <v/>
      </c>
      <c r="W50" s="9" t="e">
        <f>IF(AND($J50="Serviço",#REF!&lt;&gt;""),IF(#REF!="",#REF!,CONCATENATE(#REF!,"-",#REF!)))</f>
        <v>#REF!</v>
      </c>
      <c r="X50" s="4">
        <f ca="1" t="shared" si="14"/>
        <v>12280</v>
      </c>
      <c r="Y50" s="121">
        <v>5.79</v>
      </c>
      <c r="Z50" s="132">
        <f ca="1">ROUND(IF(ISNUMBER(R50),R50,IF(LEFT(R50,3)="BDI",HLOOKUP(R50,DADOS!$T$37:$X$38,2,FALSE),0)),15-11*$X$5)</f>
        <v>0.2034</v>
      </c>
      <c r="AA50" s="4"/>
    </row>
    <row r="51" spans="1:27" ht="12.75" customHeight="1">
      <c r="A51" t="str">
        <f>CHOOSE(1+LOG(1+2*(J51="Meta")+4*(J51="Nível 2")+8*(J51="Nível 3")+16*(J51="Nível 4")+32*(J51="Serviço"),2),0,1,2,3,4,"S")</f>
        <v>S</v>
      </c>
      <c r="B51">
        <f>IF(OR(A51="S",A51=0),0,IF(ISERROR(I51),H51,SMALL(H51:I51,1)))</f>
        <v>0</v>
      </c>
      <c r="C51">
        <f ca="1">IF($A51=1,OFFSET(C51,-1,0)+1,OFFSET(C51,-1,0))</f>
        <v>7</v>
      </c>
      <c r="D51">
        <f ca="1">IF($A51=1,0,IF($A51=2,OFFSET(D51,-1,0)+1,OFFSET(D51,-1,0)))</f>
        <v>0</v>
      </c>
      <c r="E51">
        <f ca="1">IF(AND($A51&lt;=2,$A51&lt;&gt;0),0,IF($A51=3,OFFSET(E51,-1,0)+1,OFFSET(E51,-1,0)))</f>
        <v>0</v>
      </c>
      <c r="F51">
        <f ca="1">IF(AND($A51&lt;=3,$A51&lt;&gt;0),0,IF($A51=4,OFFSET(F51,-1,0)+1,OFFSET(F51,-1,0)))</f>
        <v>0</v>
      </c>
      <c r="G51">
        <f ca="1">IF(AND($A51&lt;=4,$A51&lt;&gt;0),0,IF($A51="S",OFFSET(G51,-1,0)+1,OFFSET(G51,-1,0)))</f>
        <v>2</v>
      </c>
      <c r="H51">
        <f ca="1" t="shared" si="7"/>
        <v>0</v>
      </c>
      <c r="I51">
        <f ca="1" t="shared" si="8"/>
        <v>0</v>
      </c>
      <c r="J51" s="394" t="s">
        <v>103</v>
      </c>
      <c r="K51" s="162" t="str">
        <f ca="1">IF($A51=0,"-",CONCATENATE(C51&amp;".",IF(AND($A$5&gt;=2,$A51&gt;=2),D51&amp;".",""),IF(AND($A$5&gt;=3,$A51&gt;=3),E51&amp;".",""),IF(AND($A$5&gt;=4,$A51&gt;=4),F51&amp;".",""),IF($A51="S",G51&amp;".","")))</f>
        <v>7.0.2.</v>
      </c>
      <c r="L51" s="395" t="s">
        <v>234</v>
      </c>
      <c r="M51" s="395" t="s">
        <v>345</v>
      </c>
      <c r="N51" s="398" t="s">
        <v>382</v>
      </c>
      <c r="O51" s="399" t="s">
        <v>450</v>
      </c>
      <c r="P51" s="225">
        <f ca="1">OFFSET(PLQ!$E$12,ROW($P51)-ROW(P$12),0)</f>
        <v>22</v>
      </c>
      <c r="Q51" s="229"/>
      <c r="R51" s="232" t="s">
        <v>7</v>
      </c>
      <c r="S51" s="121">
        <f>IF($A51="S",IF($Q$10="Preço Unitário (R$)",PO.CustoUnitario,ROUND(PO.CustoUnitario*(1+$Z51),15-13*$X$6)),0)</f>
        <v>0</v>
      </c>
      <c r="T51" s="98">
        <f ca="1">IF($A51="S",VTOTAL1,IF($A51=0,0,ROUND(SomaAgrup,15-13*$X$7)))</f>
        <v>0</v>
      </c>
      <c r="U51" s="13" t="str">
        <f ca="1">IF($J51="","",IF($N51="","DESCRIÇÃO",IF(AND($J51="Serviço",$O51=""),"UNIDADE",IF($T51&lt;=0,"SEM VALOR",IF(AND($Y51&lt;&gt;"",$Q51&gt;$Y51),"ACIMA REF.","")))))</f>
        <v>SEM VALOR</v>
      </c>
      <c r="V51" s="4" t="str">
        <f ca="1">IF(OR($A51=0,$A51="S",$A51&gt;CFF!$A$9),"",MAX(V$12:OFFSET(V51,-1,0))+1)</f>
        <v/>
      </c>
      <c r="W51" s="9" t="str">
        <f>IF(AND($J51="Serviço",$M51&lt;&gt;""),IF($L51="",$M51,CONCATENATE($L51,"-",$M51)))</f>
        <v>SINAPI-89442</v>
      </c>
      <c r="X51" s="4">
        <f ca="1">IF(AND(Fonte&lt;&gt;"",Código&lt;&gt;""),MATCH(Fonte&amp;" "&amp;IF(Fonte="sinapi",SUBSTITUTE(SUBSTITUTE(Código,"/00","/"),"/0","/"),Código),INDIRECT("'[Referência "&amp;_XLNM.DATABASE&amp;".xls]Banco'!$a:$a"),0),"X")</f>
        <v>3803</v>
      </c>
      <c r="Y51" s="121">
        <v>17.64</v>
      </c>
      <c r="Z51" s="132">
        <f ca="1">ROUND(IF(ISNUMBER(R51),R51,IF(LEFT(R51,3)="BDI",HLOOKUP(R51,DADOS!$T$37:$X$38,2,FALSE),0)),15-11*$X$5)</f>
        <v>0.2034</v>
      </c>
      <c r="AA51" s="4"/>
    </row>
    <row r="52" spans="1:27" ht="12.75" customHeight="1">
      <c r="A52" t="str">
        <f t="shared" si="0"/>
        <v>S</v>
      </c>
      <c r="B52">
        <f t="shared" si="1"/>
        <v>0</v>
      </c>
      <c r="C52">
        <f ca="1" t="shared" si="2"/>
        <v>7</v>
      </c>
      <c r="D52">
        <f ca="1" t="shared" si="3"/>
        <v>0</v>
      </c>
      <c r="E52">
        <f ca="1" t="shared" si="4"/>
        <v>0</v>
      </c>
      <c r="F52">
        <f ca="1" t="shared" si="5"/>
        <v>0</v>
      </c>
      <c r="G52">
        <f ca="1" t="shared" si="6"/>
        <v>3</v>
      </c>
      <c r="H52">
        <f ca="1" t="shared" si="7"/>
        <v>0</v>
      </c>
      <c r="I52">
        <f ca="1" t="shared" si="8"/>
        <v>0</v>
      </c>
      <c r="J52" s="394" t="s">
        <v>103</v>
      </c>
      <c r="K52" s="162" t="str">
        <f ca="1" t="shared" si="9"/>
        <v>7.0.3.</v>
      </c>
      <c r="L52" s="395" t="s">
        <v>234</v>
      </c>
      <c r="M52" s="395" t="s">
        <v>269</v>
      </c>
      <c r="N52" s="398" t="s">
        <v>383</v>
      </c>
      <c r="O52" s="399" t="s">
        <v>450</v>
      </c>
      <c r="P52" s="225">
        <f ca="1">OFFSET(PLQ!$E$12,ROW($P52)-ROW(P$12),0)</f>
        <v>22</v>
      </c>
      <c r="Q52" s="229"/>
      <c r="R52" s="232" t="s">
        <v>7</v>
      </c>
      <c r="S52" s="121">
        <f t="shared" si="10"/>
        <v>0</v>
      </c>
      <c r="T52" s="98">
        <f ca="1" t="shared" si="11"/>
        <v>0</v>
      </c>
      <c r="U52" s="13" t="str">
        <f ca="1" t="shared" si="12"/>
        <v>SEM VALOR</v>
      </c>
      <c r="V52" s="4" t="str">
        <f ca="1">IF(OR($A52=0,$A52="S",$A52&gt;CFF!$A$9),"",MAX(V$12:OFFSET(V52,-1,0))+1)</f>
        <v/>
      </c>
      <c r="W52" s="9" t="str">
        <f aca="true" t="shared" si="18" ref="W52:W57">IF(AND($J52="Serviço",$M52&lt;&gt;""),IF($L52="",$M52,CONCATENATE($L52,"-",$M52)))</f>
        <v>SINAPI-89617</v>
      </c>
      <c r="X52" s="4">
        <f ca="1" t="shared" si="14"/>
        <v>3912</v>
      </c>
      <c r="Y52" s="121">
        <v>9.6</v>
      </c>
      <c r="Z52" s="132">
        <f ca="1">ROUND(IF(ISNUMBER(R52),R52,IF(LEFT(R52,3)="BDI",HLOOKUP(R52,DADOS!$T$37:$X$38,2,FALSE),0)),15-11*$X$5)</f>
        <v>0.2034</v>
      </c>
      <c r="AA52" s="4"/>
    </row>
    <row r="53" spans="1:27" ht="12.75" customHeight="1">
      <c r="A53" t="str">
        <f t="shared" si="0"/>
        <v>S</v>
      </c>
      <c r="B53">
        <f t="shared" si="1"/>
        <v>0</v>
      </c>
      <c r="C53">
        <f ca="1" t="shared" si="2"/>
        <v>7</v>
      </c>
      <c r="D53">
        <f ca="1" t="shared" si="3"/>
        <v>0</v>
      </c>
      <c r="E53">
        <f ca="1" t="shared" si="4"/>
        <v>0</v>
      </c>
      <c r="F53">
        <f ca="1" t="shared" si="5"/>
        <v>0</v>
      </c>
      <c r="G53">
        <f ca="1" t="shared" si="6"/>
        <v>4</v>
      </c>
      <c r="H53">
        <f ca="1" t="shared" si="7"/>
        <v>0</v>
      </c>
      <c r="I53">
        <f ca="1" t="shared" si="8"/>
        <v>0</v>
      </c>
      <c r="J53" s="394" t="s">
        <v>103</v>
      </c>
      <c r="K53" s="162" t="str">
        <f ca="1" t="shared" si="9"/>
        <v>7.0.4.</v>
      </c>
      <c r="L53" s="395" t="s">
        <v>234</v>
      </c>
      <c r="M53" s="395" t="s">
        <v>346</v>
      </c>
      <c r="N53" s="398" t="s">
        <v>384</v>
      </c>
      <c r="O53" s="399" t="s">
        <v>450</v>
      </c>
      <c r="P53" s="225">
        <f ca="1">OFFSET(PLQ!$E$12,ROW($P53)-ROW(P$12),0)</f>
        <v>6</v>
      </c>
      <c r="Q53" s="229"/>
      <c r="R53" s="232" t="s">
        <v>7</v>
      </c>
      <c r="S53" s="121">
        <f t="shared" si="10"/>
        <v>0</v>
      </c>
      <c r="T53" s="98">
        <f ca="1" t="shared" si="11"/>
        <v>0</v>
      </c>
      <c r="U53" s="13" t="str">
        <f ca="1" t="shared" si="12"/>
        <v>SEM VALOR</v>
      </c>
      <c r="V53" s="4" t="str">
        <f ca="1">IF(OR($A53=0,$A53="S",$A53&gt;CFF!$A$9),"",MAX(V$12:OFFSET(V53,-1,0))+1)</f>
        <v/>
      </c>
      <c r="W53" s="9" t="str">
        <f t="shared" si="18"/>
        <v>SINAPI-89358</v>
      </c>
      <c r="X53" s="4">
        <f ca="1" t="shared" si="14"/>
        <v>3726</v>
      </c>
      <c r="Y53" s="121">
        <v>9.96</v>
      </c>
      <c r="Z53" s="132">
        <f ca="1">ROUND(IF(ISNUMBER(R53),R53,IF(LEFT(R53,3)="BDI",HLOOKUP(R53,DADOS!$T$37:$X$38,2,FALSE),0)),15-11*$X$5)</f>
        <v>0.2034</v>
      </c>
      <c r="AA53" s="4"/>
    </row>
    <row r="54" spans="1:27" ht="12.75" customHeight="1">
      <c r="A54" t="str">
        <f t="shared" si="0"/>
        <v>S</v>
      </c>
      <c r="B54">
        <f t="shared" si="1"/>
        <v>0</v>
      </c>
      <c r="C54">
        <f ca="1" t="shared" si="2"/>
        <v>7</v>
      </c>
      <c r="D54">
        <f ca="1" t="shared" si="3"/>
        <v>0</v>
      </c>
      <c r="E54">
        <f ca="1" t="shared" si="4"/>
        <v>0</v>
      </c>
      <c r="F54">
        <f ca="1" t="shared" si="5"/>
        <v>0</v>
      </c>
      <c r="G54">
        <f ca="1" t="shared" si="6"/>
        <v>5</v>
      </c>
      <c r="H54">
        <f ca="1" t="shared" si="7"/>
        <v>0</v>
      </c>
      <c r="I54">
        <f ca="1" t="shared" si="8"/>
        <v>0</v>
      </c>
      <c r="J54" s="394" t="s">
        <v>103</v>
      </c>
      <c r="K54" s="162" t="str">
        <f ca="1" t="shared" si="9"/>
        <v>7.0.5.</v>
      </c>
      <c r="L54" s="395" t="s">
        <v>234</v>
      </c>
      <c r="M54" s="395" t="s">
        <v>347</v>
      </c>
      <c r="N54" s="398" t="s">
        <v>385</v>
      </c>
      <c r="O54" s="399" t="s">
        <v>450</v>
      </c>
      <c r="P54" s="225">
        <f ca="1">OFFSET(PLQ!$E$12,ROW($P54)-ROW(P$12),0)</f>
        <v>6</v>
      </c>
      <c r="Q54" s="229"/>
      <c r="R54" s="232" t="s">
        <v>7</v>
      </c>
      <c r="S54" s="121">
        <f t="shared" si="10"/>
        <v>0</v>
      </c>
      <c r="T54" s="98">
        <f ca="1" t="shared" si="11"/>
        <v>0</v>
      </c>
      <c r="U54" s="13" t="str">
        <f ca="1" t="shared" si="12"/>
        <v>SEM VALOR</v>
      </c>
      <c r="V54" s="4" t="str">
        <f ca="1">IF(OR($A54=0,$A54="S",$A54&gt;CFF!$A$9),"",MAX(V$12:OFFSET(V54,-1,0))+1)</f>
        <v/>
      </c>
      <c r="W54" s="9" t="str">
        <f t="shared" si="18"/>
        <v>SINAPI-89408</v>
      </c>
      <c r="X54" s="4">
        <f ca="1" t="shared" si="14"/>
        <v>3772</v>
      </c>
      <c r="Y54" s="121">
        <v>10.85</v>
      </c>
      <c r="Z54" s="132">
        <f ca="1">ROUND(IF(ISNUMBER(R54),R54,IF(LEFT(R54,3)="BDI",HLOOKUP(R54,DADOS!$T$37:$X$38,2,FALSE),0)),15-11*$X$5)</f>
        <v>0.2034</v>
      </c>
      <c r="AA54" s="4"/>
    </row>
    <row r="55" spans="1:27" ht="12.75" customHeight="1">
      <c r="A55" t="str">
        <f t="shared" si="0"/>
        <v>S</v>
      </c>
      <c r="B55">
        <f t="shared" si="1"/>
        <v>0</v>
      </c>
      <c r="C55">
        <f ca="1" t="shared" si="2"/>
        <v>7</v>
      </c>
      <c r="D55">
        <f ca="1" t="shared" si="3"/>
        <v>0</v>
      </c>
      <c r="E55">
        <f ca="1" t="shared" si="4"/>
        <v>0</v>
      </c>
      <c r="F55">
        <f ca="1" t="shared" si="5"/>
        <v>0</v>
      </c>
      <c r="G55">
        <f ca="1" t="shared" si="6"/>
        <v>6</v>
      </c>
      <c r="H55">
        <f ca="1" t="shared" si="7"/>
        <v>0</v>
      </c>
      <c r="I55">
        <f ca="1" t="shared" si="8"/>
        <v>0</v>
      </c>
      <c r="J55" s="394" t="s">
        <v>103</v>
      </c>
      <c r="K55" s="162" t="str">
        <f ca="1" t="shared" si="9"/>
        <v>7.0.6.</v>
      </c>
      <c r="L55" s="395" t="s">
        <v>239</v>
      </c>
      <c r="M55" s="395" t="s">
        <v>270</v>
      </c>
      <c r="N55" s="398" t="s">
        <v>386</v>
      </c>
      <c r="O55" s="399" t="s">
        <v>451</v>
      </c>
      <c r="P55" s="225">
        <f ca="1">OFFSET(PLQ!$E$12,ROW($P55)-ROW(P$12),0)</f>
        <v>5</v>
      </c>
      <c r="Q55" s="229"/>
      <c r="R55" s="232" t="s">
        <v>7</v>
      </c>
      <c r="S55" s="121">
        <f t="shared" si="10"/>
        <v>0</v>
      </c>
      <c r="T55" s="98">
        <f ca="1" t="shared" si="11"/>
        <v>0</v>
      </c>
      <c r="U55" s="13" t="str">
        <f ca="1" t="shared" si="12"/>
        <v>SEM VALOR</v>
      </c>
      <c r="V55" s="4" t="str">
        <f ca="1">IF(OR($A55=0,$A55="S",$A55&gt;CFF!$A$9),"",MAX(V$12:OFFSET(V55,-1,0))+1)</f>
        <v/>
      </c>
      <c r="W55" s="9" t="str">
        <f t="shared" si="18"/>
        <v>SINAPI-I-3904</v>
      </c>
      <c r="X55" s="4">
        <f ca="1" t="shared" si="14"/>
        <v>10345</v>
      </c>
      <c r="Y55" s="121">
        <v>1.14</v>
      </c>
      <c r="Z55" s="132">
        <f ca="1">ROUND(IF(ISNUMBER(R55),R55,IF(LEFT(R55,3)="BDI",HLOOKUP(R55,DADOS!$T$37:$X$38,2,FALSE),0)),15-11*$X$5)</f>
        <v>0.2034</v>
      </c>
      <c r="AA55" s="4"/>
    </row>
    <row r="56" spans="1:27" ht="12.75" customHeight="1">
      <c r="A56" t="str">
        <f t="shared" si="0"/>
        <v>S</v>
      </c>
      <c r="B56">
        <f t="shared" si="1"/>
        <v>0</v>
      </c>
      <c r="C56">
        <f ca="1" t="shared" si="2"/>
        <v>7</v>
      </c>
      <c r="D56">
        <f ca="1" t="shared" si="3"/>
        <v>0</v>
      </c>
      <c r="E56">
        <f ca="1" t="shared" si="4"/>
        <v>0</v>
      </c>
      <c r="F56">
        <f ca="1" t="shared" si="5"/>
        <v>0</v>
      </c>
      <c r="G56">
        <f ca="1" t="shared" si="6"/>
        <v>7</v>
      </c>
      <c r="H56">
        <f ca="1" t="shared" si="7"/>
        <v>0</v>
      </c>
      <c r="I56">
        <f ca="1" t="shared" si="8"/>
        <v>0</v>
      </c>
      <c r="J56" s="394" t="s">
        <v>103</v>
      </c>
      <c r="K56" s="162" t="str">
        <f ca="1" t="shared" si="9"/>
        <v>7.0.7.</v>
      </c>
      <c r="L56" s="395" t="s">
        <v>239</v>
      </c>
      <c r="M56" s="395" t="s">
        <v>271</v>
      </c>
      <c r="N56" s="398" t="s">
        <v>387</v>
      </c>
      <c r="O56" s="399" t="s">
        <v>451</v>
      </c>
      <c r="P56" s="225">
        <f ca="1">OFFSET(PLQ!$E$12,ROW($P56)-ROW(P$12),0)</f>
        <v>5</v>
      </c>
      <c r="Q56" s="229"/>
      <c r="R56" s="232" t="s">
        <v>7</v>
      </c>
      <c r="S56" s="121">
        <f t="shared" si="10"/>
        <v>0</v>
      </c>
      <c r="T56" s="98">
        <f ca="1" t="shared" si="11"/>
        <v>0</v>
      </c>
      <c r="U56" s="13" t="str">
        <f ca="1" t="shared" si="12"/>
        <v>SEM VALOR</v>
      </c>
      <c r="V56" s="4" t="str">
        <f ca="1">IF(OR($A56=0,$A56="S",$A56&gt;CFF!$A$9),"",MAX(V$12:OFFSET(V56,-1,0))+1)</f>
        <v/>
      </c>
      <c r="W56" s="9" t="str">
        <f t="shared" si="18"/>
        <v>SINAPI-I-3903</v>
      </c>
      <c r="X56" s="4">
        <f ca="1" t="shared" si="14"/>
        <v>10346</v>
      </c>
      <c r="Y56" s="121">
        <v>2.78</v>
      </c>
      <c r="Z56" s="132">
        <f ca="1">ROUND(IF(ISNUMBER(R56),R56,IF(LEFT(R56,3)="BDI",HLOOKUP(R56,DADOS!$T$37:$X$38,2,FALSE),0)),15-11*$X$5)</f>
        <v>0.2034</v>
      </c>
      <c r="AA56" s="4"/>
    </row>
    <row r="57" spans="1:27" ht="12.75" customHeight="1">
      <c r="A57" t="str">
        <f t="shared" si="0"/>
        <v>S</v>
      </c>
      <c r="B57">
        <f t="shared" si="1"/>
        <v>0</v>
      </c>
      <c r="C57">
        <f ca="1" t="shared" si="2"/>
        <v>7</v>
      </c>
      <c r="D57">
        <f ca="1" t="shared" si="3"/>
        <v>0</v>
      </c>
      <c r="E57">
        <f ca="1" t="shared" si="4"/>
        <v>0</v>
      </c>
      <c r="F57">
        <f ca="1" t="shared" si="5"/>
        <v>0</v>
      </c>
      <c r="G57">
        <f ca="1" t="shared" si="6"/>
        <v>8</v>
      </c>
      <c r="H57">
        <f ca="1" t="shared" si="7"/>
        <v>0</v>
      </c>
      <c r="I57">
        <f ca="1" t="shared" si="8"/>
        <v>0</v>
      </c>
      <c r="J57" s="394" t="s">
        <v>103</v>
      </c>
      <c r="K57" s="162" t="str">
        <f ca="1" t="shared" si="9"/>
        <v>7.0.8.</v>
      </c>
      <c r="L57" s="395" t="s">
        <v>239</v>
      </c>
      <c r="M57" s="395" t="s">
        <v>272</v>
      </c>
      <c r="N57" s="398" t="s">
        <v>388</v>
      </c>
      <c r="O57" s="399" t="s">
        <v>451</v>
      </c>
      <c r="P57" s="225">
        <f ca="1">OFFSET(PLQ!$E$12,ROW($P57)-ROW(P$12),0)</f>
        <v>5</v>
      </c>
      <c r="Q57" s="229"/>
      <c r="R57" s="232" t="s">
        <v>7</v>
      </c>
      <c r="S57" s="121">
        <f t="shared" si="10"/>
        <v>0</v>
      </c>
      <c r="T57" s="98">
        <f ca="1" t="shared" si="11"/>
        <v>0</v>
      </c>
      <c r="U57" s="13" t="str">
        <f ca="1" t="shared" si="12"/>
        <v>SEM VALOR</v>
      </c>
      <c r="V57" s="4" t="str">
        <f ca="1">IF(OR($A57=0,$A57="S",$A57&gt;CFF!$A$9),"",MAX(V$12:OFFSET(V57,-1,0))+1)</f>
        <v/>
      </c>
      <c r="W57" s="9" t="str">
        <f t="shared" si="18"/>
        <v>SINAPI-I-3862</v>
      </c>
      <c r="X57" s="4">
        <f ca="1" t="shared" si="14"/>
        <v>10347</v>
      </c>
      <c r="Y57" s="121">
        <v>5.93</v>
      </c>
      <c r="Z57" s="132">
        <f ca="1">ROUND(IF(ISNUMBER(R57),R57,IF(LEFT(R57,3)="BDI",HLOOKUP(R57,DADOS!$T$37:$X$38,2,FALSE),0)),15-11*$X$5)</f>
        <v>0.2034</v>
      </c>
      <c r="AA57" s="4"/>
    </row>
    <row r="58" spans="1:27" ht="12.75" customHeight="1">
      <c r="A58">
        <f t="shared" si="0"/>
        <v>1</v>
      </c>
      <c r="B58">
        <f ca="1" t="shared" si="1"/>
        <v>16</v>
      </c>
      <c r="C58">
        <f ca="1" t="shared" si="2"/>
        <v>8</v>
      </c>
      <c r="D58">
        <f ca="1" t="shared" si="3"/>
        <v>0</v>
      </c>
      <c r="E58">
        <f ca="1" t="shared" si="4"/>
        <v>0</v>
      </c>
      <c r="F58">
        <f ca="1" t="shared" si="5"/>
        <v>0</v>
      </c>
      <c r="G58">
        <f ca="1" t="shared" si="6"/>
        <v>0</v>
      </c>
      <c r="H58">
        <f aca="true" ca="1" t="shared" si="19" ref="H58:H76">IF(OR($A58="S",$A58=0),0,MATCH(0,OFFSET($B58,1,$A58,ROW($A$134)-ROW($A58)),0))</f>
        <v>76</v>
      </c>
      <c r="I58">
        <f aca="true" ca="1" t="shared" si="20" ref="I58:I76">IF(OR($A58="S",$A58=0),0,MATCH(OFFSET($B58,0,$A58)+1,OFFSET($B58,1,$A58,ROW($A$134)-ROW($A58)),0))</f>
        <v>16</v>
      </c>
      <c r="J58" s="394" t="s">
        <v>99</v>
      </c>
      <c r="K58" s="162" t="str">
        <f ca="1" t="shared" si="9"/>
        <v>8.</v>
      </c>
      <c r="L58" s="395"/>
      <c r="M58" s="395"/>
      <c r="N58" s="398" t="s">
        <v>263</v>
      </c>
      <c r="O58" s="399" t="s">
        <v>106</v>
      </c>
      <c r="P58" s="225">
        <f ca="1">OFFSET(PLQ!$E$12,ROW($P58)-ROW(P$12),0)</f>
        <v>0</v>
      </c>
      <c r="Q58" s="229"/>
      <c r="R58" s="232"/>
      <c r="S58" s="121">
        <f t="shared" si="10"/>
        <v>0</v>
      </c>
      <c r="T58" s="98">
        <f ca="1" t="shared" si="11"/>
        <v>0</v>
      </c>
      <c r="U58" s="13" t="str">
        <f ca="1" t="shared" si="12"/>
        <v>SEM VALOR</v>
      </c>
      <c r="V58" s="4">
        <f ca="1">IF(OR($A58=0,$A58="S",$A58&gt;CFF!$A$9),"",MAX(V$12:OFFSET(V58,-1,0))+1)</f>
        <v>12</v>
      </c>
      <c r="W58" s="9" t="e">
        <f>IF(AND($J58="Serviço",#REF!&lt;&gt;""),IF(#REF!="",#REF!,CONCATENATE(#REF!,"-",#REF!)))</f>
        <v>#REF!</v>
      </c>
      <c r="X58" s="4" t="str">
        <f ca="1" t="shared" si="14"/>
        <v>X</v>
      </c>
      <c r="Y58" s="121">
        <v>0</v>
      </c>
      <c r="Z58" s="132">
        <f>ROUND(IF(ISNUMBER(R58),R58,IF(LEFT(R58,3)="BDI",HLOOKUP(R58,DADOS!$T$37:$X$38,2,FALSE),0)),15-11*$X$5)</f>
        <v>0</v>
      </c>
      <c r="AA58" s="4"/>
    </row>
    <row r="59" spans="1:27" ht="12.75" customHeight="1">
      <c r="A59" t="str">
        <f>CHOOSE(1+LOG(1+2*(J59="Meta")+4*(J59="Nível 2")+8*(J59="Nível 3")+16*(J59="Nível 4")+32*(J59="Serviço"),2),0,1,2,3,4,"S")</f>
        <v>S</v>
      </c>
      <c r="B59">
        <f>IF(OR(A59="S",A59=0),0,IF(ISERROR(I59),H59,SMALL(H59:I59,1)))</f>
        <v>0</v>
      </c>
      <c r="C59">
        <f ca="1">IF($A59=1,OFFSET(C59,-1,0)+1,OFFSET(C59,-1,0))</f>
        <v>8</v>
      </c>
      <c r="D59">
        <f ca="1">IF($A59=1,0,IF($A59=2,OFFSET(D59,-1,0)+1,OFFSET(D59,-1,0)))</f>
        <v>0</v>
      </c>
      <c r="E59">
        <f ca="1">IF(AND($A59&lt;=2,$A59&lt;&gt;0),0,IF($A59=3,OFFSET(E59,-1,0)+1,OFFSET(E59,-1,0)))</f>
        <v>0</v>
      </c>
      <c r="F59">
        <f ca="1">IF(AND($A59&lt;=3,$A59&lt;&gt;0),0,IF($A59=4,OFFSET(F59,-1,0)+1,OFFSET(F59,-1,0)))</f>
        <v>0</v>
      </c>
      <c r="G59">
        <f ca="1">IF(AND($A59&lt;=4,$A59&lt;&gt;0),0,IF($A59="S",OFFSET(G59,-1,0)+1,OFFSET(G59,-1,0)))</f>
        <v>1</v>
      </c>
      <c r="H59">
        <f ca="1" t="shared" si="19"/>
        <v>0</v>
      </c>
      <c r="I59">
        <f ca="1" t="shared" si="20"/>
        <v>0</v>
      </c>
      <c r="J59" s="394" t="s">
        <v>103</v>
      </c>
      <c r="K59" s="162" t="str">
        <f ca="1">IF($A59=0,"-",CONCATENATE(C59&amp;".",IF(AND($A$5&gt;=2,$A59&gt;=2),D59&amp;".",""),IF(AND($A$5&gt;=3,$A59&gt;=3),E59&amp;".",""),IF(AND($A$5&gt;=4,$A59&gt;=4),F59&amp;".",""),IF($A59="S",G59&amp;".","")))</f>
        <v>8.0.1.</v>
      </c>
      <c r="L59" s="395" t="s">
        <v>234</v>
      </c>
      <c r="M59" s="395" t="s">
        <v>281</v>
      </c>
      <c r="N59" s="398" t="s">
        <v>389</v>
      </c>
      <c r="O59" s="399" t="s">
        <v>447</v>
      </c>
      <c r="P59" s="225">
        <f ca="1">OFFSET(PLQ!$E$12,ROW($P59)-ROW(P$12),0)</f>
        <v>65</v>
      </c>
      <c r="Q59" s="229"/>
      <c r="R59" s="232" t="s">
        <v>7</v>
      </c>
      <c r="S59" s="121">
        <f>IF($A59="S",IF($Q$10="Preço Unitário (R$)",PO.CustoUnitario,ROUND(PO.CustoUnitario*(1+$Z59),15-13*$X$6)),0)</f>
        <v>0</v>
      </c>
      <c r="T59" s="98">
        <f ca="1">IF($A59="S",VTOTAL1,IF($A59=0,0,ROUND(SomaAgrup,15-13*$X$7)))</f>
        <v>0</v>
      </c>
      <c r="U59" s="13" t="str">
        <f ca="1">IF($J59="","",IF($N59="","DESCRIÇÃO",IF(AND($J59="Serviço",$O59=""),"UNIDADE",IF($T59&lt;=0,"SEM VALOR",IF(AND($Y59&lt;&gt;"",$Q59&gt;$Y59),"ACIMA REF.","")))))</f>
        <v>SEM VALOR</v>
      </c>
      <c r="V59" s="4" t="str">
        <f ca="1">IF(OR($A59=0,$A59="S",$A59&gt;CFF!$A$9),"",MAX(V$12:OFFSET(V59,-1,0))+1)</f>
        <v/>
      </c>
      <c r="W59" s="9" t="str">
        <f>IF(AND($J59="Serviço",$M59&lt;&gt;""),IF($L59="",$M59,CONCATENATE($L59,"-",$M59)))</f>
        <v>SINAPI-89848</v>
      </c>
      <c r="X59" s="4">
        <f ca="1">IF(AND(Fonte&lt;&gt;"",Código&lt;&gt;""),MATCH(Fonte&amp;" "&amp;IF(Fonte="sinapi",SUBSTITUTE(SUBSTITUTE(Código,"/00","/"),"/0","/"),Código),INDIRECT("'[Referência "&amp;_XLNM.DATABASE&amp;".xls]Banco'!$a:$a"),0),"X")</f>
        <v>3513</v>
      </c>
      <c r="Y59" s="121">
        <v>36.29</v>
      </c>
      <c r="Z59" s="132">
        <f ca="1">ROUND(IF(ISNUMBER(R59),R59,IF(LEFT(R59,3)="BDI",HLOOKUP(R59,DADOS!$T$37:$X$38,2,FALSE),0)),15-11*$X$5)</f>
        <v>0.2034</v>
      </c>
      <c r="AA59" s="4"/>
    </row>
    <row r="60" spans="1:27" ht="12.75" customHeight="1">
      <c r="A60" t="str">
        <f t="shared" si="0"/>
        <v>S</v>
      </c>
      <c r="B60">
        <f t="shared" si="1"/>
        <v>0</v>
      </c>
      <c r="C60">
        <f ca="1" t="shared" si="2"/>
        <v>8</v>
      </c>
      <c r="D60">
        <f ca="1" t="shared" si="3"/>
        <v>0</v>
      </c>
      <c r="E60">
        <f ca="1" t="shared" si="4"/>
        <v>0</v>
      </c>
      <c r="F60">
        <f ca="1" t="shared" si="5"/>
        <v>0</v>
      </c>
      <c r="G60">
        <f ca="1" t="shared" si="6"/>
        <v>2</v>
      </c>
      <c r="H60">
        <f ca="1" t="shared" si="19"/>
        <v>0</v>
      </c>
      <c r="I60">
        <f ca="1" t="shared" si="20"/>
        <v>0</v>
      </c>
      <c r="J60" s="394" t="s">
        <v>103</v>
      </c>
      <c r="K60" s="162" t="str">
        <f ca="1" t="shared" si="9"/>
        <v>8.0.2.</v>
      </c>
      <c r="L60" s="395" t="s">
        <v>234</v>
      </c>
      <c r="M60" s="395" t="s">
        <v>273</v>
      </c>
      <c r="N60" s="398" t="s">
        <v>390</v>
      </c>
      <c r="O60" s="399" t="s">
        <v>447</v>
      </c>
      <c r="P60" s="225">
        <f ca="1">OFFSET(PLQ!$E$12,ROW($P60)-ROW(P$12),0)</f>
        <v>28</v>
      </c>
      <c r="Q60" s="229"/>
      <c r="R60" s="232" t="s">
        <v>7</v>
      </c>
      <c r="S60" s="121">
        <f t="shared" si="10"/>
        <v>0</v>
      </c>
      <c r="T60" s="98">
        <f ca="1" t="shared" si="11"/>
        <v>0</v>
      </c>
      <c r="U60" s="13" t="str">
        <f ca="1" t="shared" si="12"/>
        <v>SEM VALOR</v>
      </c>
      <c r="V60" s="4" t="str">
        <f ca="1">IF(OR($A60=0,$A60="S",$A60&gt;CFF!$A$9),"",MAX(V$12:OFFSET(V60,-1,0))+1)</f>
        <v/>
      </c>
      <c r="W60" s="9" t="e">
        <f>IF(AND($J60="Serviço",#REF!&lt;&gt;""),IF(#REF!="",#REF!,CONCATENATE(#REF!,"-",#REF!)))</f>
        <v>#REF!</v>
      </c>
      <c r="X60" s="4">
        <f ca="1" t="shared" si="14"/>
        <v>3510</v>
      </c>
      <c r="Y60" s="121">
        <v>18.16</v>
      </c>
      <c r="Z60" s="132">
        <f ca="1">ROUND(IF(ISNUMBER(R60),R60,IF(LEFT(R60,3)="BDI",HLOOKUP(R60,DADOS!$T$37:$X$38,2,FALSE),0)),15-11*$X$5)</f>
        <v>0.2034</v>
      </c>
      <c r="AA60" s="4"/>
    </row>
    <row r="61" spans="1:27" ht="12.75" customHeight="1">
      <c r="A61" t="str">
        <f>CHOOSE(1+LOG(1+2*(J61="Meta")+4*(J61="Nível 2")+8*(J61="Nível 3")+16*(J61="Nível 4")+32*(J61="Serviço"),2),0,1,2,3,4,"S")</f>
        <v>S</v>
      </c>
      <c r="B61">
        <f>IF(OR(A61="S",A61=0),0,IF(ISERROR(I61),H61,SMALL(H61:I61,1)))</f>
        <v>0</v>
      </c>
      <c r="C61">
        <f ca="1">IF($A61=1,OFFSET(C61,-1,0)+1,OFFSET(C61,-1,0))</f>
        <v>8</v>
      </c>
      <c r="D61">
        <f ca="1">IF($A61=1,0,IF($A61=2,OFFSET(D61,-1,0)+1,OFFSET(D61,-1,0)))</f>
        <v>0</v>
      </c>
      <c r="E61">
        <f ca="1">IF(AND($A61&lt;=2,$A61&lt;&gt;0),0,IF($A61=3,OFFSET(E61,-1,0)+1,OFFSET(E61,-1,0)))</f>
        <v>0</v>
      </c>
      <c r="F61">
        <f ca="1">IF(AND($A61&lt;=3,$A61&lt;&gt;0),0,IF($A61=4,OFFSET(F61,-1,0)+1,OFFSET(F61,-1,0)))</f>
        <v>0</v>
      </c>
      <c r="G61">
        <f ca="1">IF(AND($A61&lt;=4,$A61&lt;&gt;0),0,IF($A61="S",OFFSET(G61,-1,0)+1,OFFSET(G61,-1,0)))</f>
        <v>3</v>
      </c>
      <c r="H61">
        <f ca="1" t="shared" si="19"/>
        <v>0</v>
      </c>
      <c r="I61">
        <f ca="1" t="shared" si="20"/>
        <v>0</v>
      </c>
      <c r="J61" s="394" t="s">
        <v>103</v>
      </c>
      <c r="K61" s="162" t="str">
        <f ca="1">IF($A61=0,"-",CONCATENATE(C61&amp;".",IF(AND($A$5&gt;=2,$A61&gt;=2),D61&amp;".",""),IF(AND($A$5&gt;=3,$A61&gt;=3),E61&amp;".",""),IF(AND($A$5&gt;=4,$A61&gt;=4),F61&amp;".",""),IF($A61="S",G61&amp;".","")))</f>
        <v>8.0.3.</v>
      </c>
      <c r="L61" s="395" t="s">
        <v>239</v>
      </c>
      <c r="M61" s="395" t="s">
        <v>348</v>
      </c>
      <c r="N61" s="398" t="s">
        <v>391</v>
      </c>
      <c r="O61" s="399" t="s">
        <v>451</v>
      </c>
      <c r="P61" s="225">
        <f ca="1">OFFSET(PLQ!$E$12,ROW($P61)-ROW(P$12),0)</f>
        <v>10</v>
      </c>
      <c r="Q61" s="229"/>
      <c r="R61" s="232" t="s">
        <v>7</v>
      </c>
      <c r="S61" s="121">
        <f>IF($A61="S",IF($Q$10="Preço Unitário (R$)",PO.CustoUnitario,ROUND(PO.CustoUnitario*(1+$Z61),15-13*$X$6)),0)</f>
        <v>0</v>
      </c>
      <c r="T61" s="98">
        <f ca="1">IF($A61="S",VTOTAL1,IF($A61=0,0,ROUND(SomaAgrup,15-13*$X$7)))</f>
        <v>0</v>
      </c>
      <c r="U61" s="13" t="str">
        <f ca="1">IF($J61="","",IF($N61="","DESCRIÇÃO",IF(AND($J61="Serviço",$O61=""),"UNIDADE",IF($T61&lt;=0,"SEM VALOR",IF(AND($Y61&lt;&gt;"",$Q61&gt;$Y61),"ACIMA REF.","")))))</f>
        <v>SEM VALOR</v>
      </c>
      <c r="V61" s="4" t="str">
        <f ca="1">IF(OR($A61=0,$A61="S",$A61&gt;CFF!$A$9),"",MAX(V$12:OFFSET(V61,-1,0))+1)</f>
        <v/>
      </c>
      <c r="W61" s="9" t="str">
        <f>IF(AND($J61="Serviço",$M61&lt;&gt;""),IF($L61="",$M61,CONCATENATE($L61,"-",$M61)))</f>
        <v>SINAPI-I-20144</v>
      </c>
      <c r="X61" s="4">
        <f ca="1">IF(AND(Fonte&lt;&gt;"",Código&lt;&gt;""),MATCH(Fonte&amp;" "&amp;IF(Fonte="sinapi",SUBSTITUTE(SUBSTITUTE(Código,"/00","/"),"/0","/"),Código),INDIRECT("'[Referência "&amp;_XLNM.DATABASE&amp;".xls]Banco'!$a:$a"),0),"X")</f>
        <v>10009</v>
      </c>
      <c r="Y61" s="121">
        <v>74.27</v>
      </c>
      <c r="Z61" s="132">
        <f ca="1">ROUND(IF(ISNUMBER(R61),R61,IF(LEFT(R61,3)="BDI",HLOOKUP(R61,DADOS!$T$37:$X$38,2,FALSE),0)),15-11*$X$5)</f>
        <v>0.2034</v>
      </c>
      <c r="AA61" s="4"/>
    </row>
    <row r="62" spans="1:27" ht="12.75" customHeight="1">
      <c r="A62" t="str">
        <f t="shared" si="0"/>
        <v>S</v>
      </c>
      <c r="B62">
        <f t="shared" si="1"/>
        <v>0</v>
      </c>
      <c r="C62">
        <f ca="1" t="shared" si="2"/>
        <v>8</v>
      </c>
      <c r="D62">
        <f ca="1" t="shared" si="3"/>
        <v>0</v>
      </c>
      <c r="E62">
        <f ca="1" t="shared" si="4"/>
        <v>0</v>
      </c>
      <c r="F62">
        <f ca="1" t="shared" si="5"/>
        <v>0</v>
      </c>
      <c r="G62">
        <f ca="1" t="shared" si="6"/>
        <v>4</v>
      </c>
      <c r="H62">
        <f ca="1" t="shared" si="19"/>
        <v>0</v>
      </c>
      <c r="I62">
        <f ca="1" t="shared" si="20"/>
        <v>0</v>
      </c>
      <c r="J62" s="394" t="s">
        <v>103</v>
      </c>
      <c r="K62" s="162" t="str">
        <f ca="1" t="shared" si="9"/>
        <v>8.0.4.</v>
      </c>
      <c r="L62" s="395" t="s">
        <v>239</v>
      </c>
      <c r="M62" s="395" t="s">
        <v>274</v>
      </c>
      <c r="N62" s="398" t="s">
        <v>392</v>
      </c>
      <c r="O62" s="399" t="s">
        <v>451</v>
      </c>
      <c r="P62" s="225">
        <f ca="1">OFFSET(PLQ!$E$12,ROW($P62)-ROW(P$12),0)</f>
        <v>6</v>
      </c>
      <c r="Q62" s="229"/>
      <c r="R62" s="232" t="s">
        <v>7</v>
      </c>
      <c r="S62" s="121">
        <f t="shared" si="10"/>
        <v>0</v>
      </c>
      <c r="T62" s="98">
        <f ca="1" t="shared" si="11"/>
        <v>0</v>
      </c>
      <c r="U62" s="13" t="str">
        <f ca="1" t="shared" si="12"/>
        <v>SEM VALOR</v>
      </c>
      <c r="V62" s="4" t="str">
        <f ca="1">IF(OR($A62=0,$A62="S",$A62&gt;CFF!$A$9),"",MAX(V$12:OFFSET(V62,-1,0))+1)</f>
        <v/>
      </c>
      <c r="W62" s="9" t="e">
        <f>IF(AND($J62="Serviço",#REF!&lt;&gt;""),IF(#REF!="",#REF!,CONCATENATE(#REF!,"-",#REF!)))</f>
        <v>#REF!</v>
      </c>
      <c r="X62" s="4">
        <f ca="1" t="shared" si="14"/>
        <v>9985</v>
      </c>
      <c r="Y62" s="121">
        <v>26.61</v>
      </c>
      <c r="Z62" s="132">
        <f ca="1">ROUND(IF(ISNUMBER(R62),R62,IF(LEFT(R62,3)="BDI",HLOOKUP(R62,DADOS!$T$37:$X$38,2,FALSE),0)),15-11*$X$5)</f>
        <v>0.2034</v>
      </c>
      <c r="AA62" s="4"/>
    </row>
    <row r="63" spans="1:27" ht="12.75" customHeight="1">
      <c r="A63" t="str">
        <f t="shared" si="0"/>
        <v>S</v>
      </c>
      <c r="B63">
        <f t="shared" si="1"/>
        <v>0</v>
      </c>
      <c r="C63">
        <f ca="1" t="shared" si="2"/>
        <v>8</v>
      </c>
      <c r="D63">
        <f ca="1" t="shared" si="3"/>
        <v>0</v>
      </c>
      <c r="E63">
        <f ca="1" t="shared" si="4"/>
        <v>0</v>
      </c>
      <c r="F63">
        <f ca="1" t="shared" si="5"/>
        <v>0</v>
      </c>
      <c r="G63">
        <f ca="1" t="shared" si="6"/>
        <v>5</v>
      </c>
      <c r="H63">
        <f ca="1" t="shared" si="19"/>
        <v>0</v>
      </c>
      <c r="I63">
        <f ca="1" t="shared" si="20"/>
        <v>0</v>
      </c>
      <c r="J63" s="394" t="s">
        <v>103</v>
      </c>
      <c r="K63" s="162" t="str">
        <f ca="1" t="shared" si="9"/>
        <v>8.0.5.</v>
      </c>
      <c r="L63" s="395" t="s">
        <v>239</v>
      </c>
      <c r="M63" s="395" t="s">
        <v>275</v>
      </c>
      <c r="N63" s="398" t="s">
        <v>393</v>
      </c>
      <c r="O63" s="399" t="s">
        <v>451</v>
      </c>
      <c r="P63" s="225">
        <f ca="1">OFFSET(PLQ!$E$12,ROW($P63)-ROW(P$12),0)</f>
        <v>4</v>
      </c>
      <c r="Q63" s="229"/>
      <c r="R63" s="232" t="s">
        <v>7</v>
      </c>
      <c r="S63" s="121">
        <f t="shared" si="10"/>
        <v>0</v>
      </c>
      <c r="T63" s="98">
        <f ca="1" t="shared" si="11"/>
        <v>0</v>
      </c>
      <c r="U63" s="13" t="str">
        <f ca="1" t="shared" si="12"/>
        <v>SEM VALOR</v>
      </c>
      <c r="V63" s="4" t="str">
        <f ca="1">IF(OR($A63=0,$A63="S",$A63&gt;CFF!$A$9),"",MAX(V$12:OFFSET(V63,-1,0))+1)</f>
        <v/>
      </c>
      <c r="W63" s="9" t="e">
        <f>IF(AND($J63="Serviço",#REF!&lt;&gt;""),IF(#REF!="",#REF!,CONCATENATE(#REF!,"-",#REF!)))</f>
        <v>#REF!</v>
      </c>
      <c r="X63" s="4">
        <f ca="1" t="shared" si="14"/>
        <v>9983</v>
      </c>
      <c r="Y63" s="121">
        <v>9.19</v>
      </c>
      <c r="Z63" s="132">
        <f ca="1">ROUND(IF(ISNUMBER(R63),R63,IF(LEFT(R63,3)="BDI",HLOOKUP(R63,DADOS!$T$37:$X$38,2,FALSE),0)),15-11*$X$5)</f>
        <v>0.2034</v>
      </c>
      <c r="AA63" s="4"/>
    </row>
    <row r="64" spans="1:27" ht="12.75" customHeight="1">
      <c r="A64" t="str">
        <f t="shared" si="0"/>
        <v>S</v>
      </c>
      <c r="B64">
        <f t="shared" si="1"/>
        <v>0</v>
      </c>
      <c r="C64">
        <f ca="1" t="shared" si="2"/>
        <v>8</v>
      </c>
      <c r="D64">
        <f ca="1" t="shared" si="3"/>
        <v>0</v>
      </c>
      <c r="E64">
        <f ca="1" t="shared" si="4"/>
        <v>0</v>
      </c>
      <c r="F64">
        <f ca="1" t="shared" si="5"/>
        <v>0</v>
      </c>
      <c r="G64">
        <f ca="1" t="shared" si="6"/>
        <v>6</v>
      </c>
      <c r="H64">
        <f ca="1" t="shared" si="19"/>
        <v>0</v>
      </c>
      <c r="I64">
        <f ca="1" t="shared" si="20"/>
        <v>0</v>
      </c>
      <c r="J64" s="394" t="s">
        <v>103</v>
      </c>
      <c r="K64" s="162" t="str">
        <f ca="1" t="shared" si="9"/>
        <v>8.0.6.</v>
      </c>
      <c r="L64" s="395" t="s">
        <v>239</v>
      </c>
      <c r="M64" s="395" t="s">
        <v>276</v>
      </c>
      <c r="N64" s="398" t="s">
        <v>394</v>
      </c>
      <c r="O64" s="399" t="s">
        <v>451</v>
      </c>
      <c r="P64" s="225">
        <f ca="1">OFFSET(PLQ!$E$12,ROW($P64)-ROW(P$12),0)</f>
        <v>4</v>
      </c>
      <c r="Q64" s="229"/>
      <c r="R64" s="232" t="s">
        <v>7</v>
      </c>
      <c r="S64" s="121">
        <f t="shared" si="10"/>
        <v>0</v>
      </c>
      <c r="T64" s="98">
        <f ca="1" t="shared" si="11"/>
        <v>0</v>
      </c>
      <c r="U64" s="13" t="str">
        <f ca="1" t="shared" si="12"/>
        <v>SEM VALOR</v>
      </c>
      <c r="V64" s="4" t="str">
        <f ca="1">IF(OR($A64=0,$A64="S",$A64&gt;CFF!$A$9),"",MAX(V$12:OFFSET(V64,-1,0))+1)</f>
        <v/>
      </c>
      <c r="W64" s="9" t="e">
        <f>IF(AND($J64="Serviço",#REF!&lt;&gt;""),IF(#REF!="",#REF!,CONCATENATE(#REF!,"-",#REF!)))</f>
        <v>#REF!</v>
      </c>
      <c r="X64" s="4">
        <f ca="1" t="shared" si="14"/>
        <v>9082</v>
      </c>
      <c r="Y64" s="121">
        <v>79.92</v>
      </c>
      <c r="Z64" s="132">
        <f ca="1">ROUND(IF(ISNUMBER(R64),R64,IF(LEFT(R64,3)="BDI",HLOOKUP(R64,DADOS!$T$37:$X$38,2,FALSE),0)),15-11*$X$5)</f>
        <v>0.2034</v>
      </c>
      <c r="AA64" s="4"/>
    </row>
    <row r="65" spans="1:27" ht="12.75" customHeight="1">
      <c r="A65" t="str">
        <f t="shared" si="0"/>
        <v>S</v>
      </c>
      <c r="B65">
        <f t="shared" si="1"/>
        <v>0</v>
      </c>
      <c r="C65">
        <f ca="1" t="shared" si="2"/>
        <v>8</v>
      </c>
      <c r="D65">
        <f ca="1" t="shared" si="3"/>
        <v>0</v>
      </c>
      <c r="E65">
        <f ca="1" t="shared" si="4"/>
        <v>0</v>
      </c>
      <c r="F65">
        <f ca="1" t="shared" si="5"/>
        <v>0</v>
      </c>
      <c r="G65">
        <f ca="1" t="shared" si="6"/>
        <v>7</v>
      </c>
      <c r="H65">
        <f ca="1" t="shared" si="19"/>
        <v>0</v>
      </c>
      <c r="I65">
        <f ca="1" t="shared" si="20"/>
        <v>0</v>
      </c>
      <c r="J65" s="394" t="s">
        <v>103</v>
      </c>
      <c r="K65" s="162" t="str">
        <f ca="1" t="shared" si="9"/>
        <v>8.0.7.</v>
      </c>
      <c r="L65" s="395" t="s">
        <v>239</v>
      </c>
      <c r="M65" s="395" t="s">
        <v>277</v>
      </c>
      <c r="N65" s="398" t="s">
        <v>395</v>
      </c>
      <c r="O65" s="399" t="s">
        <v>451</v>
      </c>
      <c r="P65" s="225">
        <f ca="1">OFFSET(PLQ!$E$12,ROW($P65)-ROW(P$12),0)</f>
        <v>7</v>
      </c>
      <c r="Q65" s="229"/>
      <c r="R65" s="232" t="s">
        <v>7</v>
      </c>
      <c r="S65" s="121">
        <f t="shared" si="10"/>
        <v>0</v>
      </c>
      <c r="T65" s="98">
        <f ca="1" t="shared" si="11"/>
        <v>0</v>
      </c>
      <c r="U65" s="13" t="str">
        <f ca="1" t="shared" si="12"/>
        <v>SEM VALOR</v>
      </c>
      <c r="V65" s="4" t="str">
        <f ca="1">IF(OR($A65=0,$A65="S",$A65&gt;CFF!$A$9),"",MAX(V$12:OFFSET(V65,-1,0))+1)</f>
        <v/>
      </c>
      <c r="W65" s="9" t="e">
        <f>IF(AND($J65="Serviço",#REF!&lt;&gt;""),IF(#REF!="",#REF!,CONCATENATE(#REF!,"-",#REF!)))</f>
        <v>#REF!</v>
      </c>
      <c r="X65" s="4">
        <f ca="1" t="shared" si="14"/>
        <v>9084</v>
      </c>
      <c r="Y65" s="121">
        <v>18.76</v>
      </c>
      <c r="Z65" s="132">
        <f ca="1">ROUND(IF(ISNUMBER(R65),R65,IF(LEFT(R65,3)="BDI",HLOOKUP(R65,DADOS!$T$37:$X$38,2,FALSE),0)),15-11*$X$5)</f>
        <v>0.2034</v>
      </c>
      <c r="AA65" s="4"/>
    </row>
    <row r="66" spans="1:27" ht="12.75" customHeight="1">
      <c r="A66" t="str">
        <f>CHOOSE(1+LOG(1+2*(J66="Meta")+4*(J66="Nível 2")+8*(J66="Nível 3")+16*(J66="Nível 4")+32*(J66="Serviço"),2),0,1,2,3,4,"S")</f>
        <v>S</v>
      </c>
      <c r="B66">
        <f>IF(OR(A66="S",A66=0),0,IF(ISERROR(I66),H66,SMALL(H66:I66,1)))</f>
        <v>0</v>
      </c>
      <c r="C66">
        <f ca="1">IF($A66=1,OFFSET(C66,-1,0)+1,OFFSET(C66,-1,0))</f>
        <v>8</v>
      </c>
      <c r="D66">
        <f ca="1">IF($A66=1,0,IF($A66=2,OFFSET(D66,-1,0)+1,OFFSET(D66,-1,0)))</f>
        <v>0</v>
      </c>
      <c r="E66">
        <f ca="1">IF(AND($A66&lt;=2,$A66&lt;&gt;0),0,IF($A66=3,OFFSET(E66,-1,0)+1,OFFSET(E66,-1,0)))</f>
        <v>0</v>
      </c>
      <c r="F66">
        <f ca="1">IF(AND($A66&lt;=3,$A66&lt;&gt;0),0,IF($A66=4,OFFSET(F66,-1,0)+1,OFFSET(F66,-1,0)))</f>
        <v>0</v>
      </c>
      <c r="G66">
        <f ca="1">IF(AND($A66&lt;=4,$A66&lt;&gt;0),0,IF($A66="S",OFFSET(G66,-1,0)+1,OFFSET(G66,-1,0)))</f>
        <v>8</v>
      </c>
      <c r="H66">
        <f ca="1" t="shared" si="19"/>
        <v>0</v>
      </c>
      <c r="I66">
        <f ca="1" t="shared" si="20"/>
        <v>0</v>
      </c>
      <c r="J66" s="394" t="s">
        <v>103</v>
      </c>
      <c r="K66" s="162" t="str">
        <f ca="1">IF($A66=0,"-",CONCATENATE(C66&amp;".",IF(AND($A$5&gt;=2,$A66&gt;=2),D66&amp;".",""),IF(AND($A$5&gt;=3,$A66&gt;=3),E66&amp;".",""),IF(AND($A$5&gt;=4,$A66&gt;=4),F66&amp;".",""),IF($A66="S",G66&amp;".","")))</f>
        <v>8.0.8.</v>
      </c>
      <c r="L66" s="395" t="s">
        <v>234</v>
      </c>
      <c r="M66" s="395" t="s">
        <v>282</v>
      </c>
      <c r="N66" s="398" t="s">
        <v>396</v>
      </c>
      <c r="O66" s="399" t="s">
        <v>450</v>
      </c>
      <c r="P66" s="225">
        <f ca="1">OFFSET(PLQ!$E$12,ROW($P66)-ROW(P$12),0)</f>
        <v>6</v>
      </c>
      <c r="Q66" s="229"/>
      <c r="R66" s="232" t="s">
        <v>7</v>
      </c>
      <c r="S66" s="121">
        <f>IF($A66="S",IF($Q$10="Preço Unitário (R$)",PO.CustoUnitario,ROUND(PO.CustoUnitario*(1+$Z66),15-13*$X$6)),0)</f>
        <v>0</v>
      </c>
      <c r="T66" s="98">
        <f ca="1">IF($A66="S",VTOTAL1,IF($A66=0,0,ROUND(SomaAgrup,15-13*$X$7)))</f>
        <v>0</v>
      </c>
      <c r="U66" s="13" t="str">
        <f ca="1">IF($J66="","",IF($N66="","DESCRIÇÃO",IF(AND($J66="Serviço",$O66=""),"UNIDADE",IF($T66&lt;=0,"SEM VALOR",IF(AND($Y66&lt;&gt;"",$Q66&gt;$Y66),"ACIMA REF.","")))))</f>
        <v>SEM VALOR</v>
      </c>
      <c r="V66" s="4" t="str">
        <f ca="1">IF(OR($A66=0,$A66="S",$A66&gt;CFF!$A$9),"",MAX(V$12:OFFSET(V66,-1,0))+1)</f>
        <v/>
      </c>
      <c r="W66" s="9" t="str">
        <f>IF(AND($J66="Serviço",$M66&lt;&gt;""),IF($L66="",$M66,CONCATENATE($L66,"-",$M66)))</f>
        <v>SINAPI-89857</v>
      </c>
      <c r="X66" s="4">
        <f ca="1">IF(AND(Fonte&lt;&gt;"",Código&lt;&gt;""),MATCH(Fonte&amp;" "&amp;IF(Fonte="sinapi",SUBSTITUTE(SUBSTITUTE(Código,"/00","/"),"/0","/"),Código),INDIRECT("'[Referência "&amp;_XLNM.DATABASE&amp;".xls]Banco'!$a:$a"),0),"X")</f>
        <v>4117</v>
      </c>
      <c r="Y66" s="121">
        <v>48.97</v>
      </c>
      <c r="Z66" s="132">
        <f ca="1">ROUND(IF(ISNUMBER(R66),R66,IF(LEFT(R66,3)="BDI",HLOOKUP(R66,DADOS!$T$37:$X$38,2,FALSE),0)),15-11*$X$5)</f>
        <v>0.2034</v>
      </c>
      <c r="AA66" s="4"/>
    </row>
    <row r="67" spans="1:27" ht="12.75" customHeight="1">
      <c r="A67" t="str">
        <f>CHOOSE(1+LOG(1+2*(J67="Meta")+4*(J67="Nível 2")+8*(J67="Nível 3")+16*(J67="Nível 4")+32*(J67="Serviço"),2),0,1,2,3,4,"S")</f>
        <v>S</v>
      </c>
      <c r="B67">
        <f>IF(OR(A67="S",A67=0),0,IF(ISERROR(I67),H67,SMALL(H67:I67,1)))</f>
        <v>0</v>
      </c>
      <c r="C67">
        <f ca="1">IF($A67=1,OFFSET(C67,-1,0)+1,OFFSET(C67,-1,0))</f>
        <v>8</v>
      </c>
      <c r="D67">
        <f ca="1">IF($A67=1,0,IF($A67=2,OFFSET(D67,-1,0)+1,OFFSET(D67,-1,0)))</f>
        <v>0</v>
      </c>
      <c r="E67">
        <f ca="1">IF(AND($A67&lt;=2,$A67&lt;&gt;0),0,IF($A67=3,OFFSET(E67,-1,0)+1,OFFSET(E67,-1,0)))</f>
        <v>0</v>
      </c>
      <c r="F67">
        <f ca="1">IF(AND($A67&lt;=3,$A67&lt;&gt;0),0,IF($A67=4,OFFSET(F67,-1,0)+1,OFFSET(F67,-1,0)))</f>
        <v>0</v>
      </c>
      <c r="G67">
        <f ca="1">IF(AND($A67&lt;=4,$A67&lt;&gt;0),0,IF($A67="S",OFFSET(G67,-1,0)+1,OFFSET(G67,-1,0)))</f>
        <v>9</v>
      </c>
      <c r="H67">
        <f ca="1" t="shared" si="19"/>
        <v>0</v>
      </c>
      <c r="I67">
        <f ca="1" t="shared" si="20"/>
        <v>0</v>
      </c>
      <c r="J67" s="394" t="s">
        <v>103</v>
      </c>
      <c r="K67" s="162" t="str">
        <f ca="1">IF($A67=0,"-",CONCATENATE(C67&amp;".",IF(AND($A$5&gt;=2,$A67&gt;=2),D67&amp;".",""),IF(AND($A$5&gt;=3,$A67&gt;=3),E67&amp;".",""),IF(AND($A$5&gt;=4,$A67&gt;=4),F67&amp;".",""),IF($A67="S",G67&amp;".","")))</f>
        <v>8.0.9.</v>
      </c>
      <c r="L67" s="395" t="s">
        <v>234</v>
      </c>
      <c r="M67" s="395" t="s">
        <v>283</v>
      </c>
      <c r="N67" s="398" t="s">
        <v>397</v>
      </c>
      <c r="O67" s="399" t="s">
        <v>450</v>
      </c>
      <c r="P67" s="225">
        <f ca="1">OFFSET(PLQ!$E$12,ROW($P67)-ROW(P$12),0)</f>
        <v>6</v>
      </c>
      <c r="Q67" s="229"/>
      <c r="R67" s="232" t="s">
        <v>7</v>
      </c>
      <c r="S67" s="121">
        <f>IF($A67="S",IF($Q$10="Preço Unitário (R$)",PO.CustoUnitario,ROUND(PO.CustoUnitario*(1+$Z67),15-13*$X$6)),0)</f>
        <v>0</v>
      </c>
      <c r="T67" s="98">
        <f ca="1">IF($A67="S",VTOTAL1,IF($A67=0,0,ROUND(SomaAgrup,15-13*$X$7)))</f>
        <v>0</v>
      </c>
      <c r="U67" s="13" t="str">
        <f ca="1">IF($J67="","",IF($N67="","DESCRIÇÃO",IF(AND($J67="Serviço",$O67=""),"UNIDADE",IF($T67&lt;=0,"SEM VALOR",IF(AND($Y67&lt;&gt;"",$Q67&gt;$Y67),"ACIMA REF.","")))))</f>
        <v>SEM VALOR</v>
      </c>
      <c r="V67" s="4" t="str">
        <f ca="1">IF(OR($A67=0,$A67="S",$A67&gt;CFF!$A$9),"",MAX(V$12:OFFSET(V67,-1,0))+1)</f>
        <v/>
      </c>
      <c r="W67" s="9" t="str">
        <f>IF(AND($J67="Serviço",$M67&lt;&gt;""),IF($L67="",$M67,CONCATENATE($L67,"-",$M67)))</f>
        <v>SINAPI-89814</v>
      </c>
      <c r="X67" s="4">
        <f ca="1">IF(AND(Fonte&lt;&gt;"",Código&lt;&gt;""),MATCH(Fonte&amp;" "&amp;IF(Fonte="sinapi",SUBSTITUTE(SUBSTITUTE(Código,"/00","/"),"/0","/"),Código),INDIRECT("'[Referência "&amp;_XLNM.DATABASE&amp;".xls]Banco'!$a:$a"),0),"X")</f>
        <v>4078</v>
      </c>
      <c r="Y67" s="121">
        <v>23.21</v>
      </c>
      <c r="Z67" s="132">
        <f ca="1">ROUND(IF(ISNUMBER(R67),R67,IF(LEFT(R67,3)="BDI",HLOOKUP(R67,DADOS!$T$37:$X$38,2,FALSE),0)),15-11*$X$5)</f>
        <v>0.2034</v>
      </c>
      <c r="AA67" s="4"/>
    </row>
    <row r="68" spans="1:27" ht="12.75" customHeight="1">
      <c r="A68" t="str">
        <f t="shared" si="0"/>
        <v>S</v>
      </c>
      <c r="B68">
        <f t="shared" si="1"/>
        <v>0</v>
      </c>
      <c r="C68">
        <f ca="1" t="shared" si="2"/>
        <v>8</v>
      </c>
      <c r="D68">
        <f ca="1" t="shared" si="3"/>
        <v>0</v>
      </c>
      <c r="E68">
        <f ca="1" t="shared" si="4"/>
        <v>0</v>
      </c>
      <c r="F68">
        <f ca="1" t="shared" si="5"/>
        <v>0</v>
      </c>
      <c r="G68">
        <f ca="1" t="shared" si="6"/>
        <v>10</v>
      </c>
      <c r="H68">
        <f ca="1" t="shared" si="19"/>
        <v>0</v>
      </c>
      <c r="I68">
        <f ca="1" t="shared" si="20"/>
        <v>0</v>
      </c>
      <c r="J68" s="394" t="s">
        <v>103</v>
      </c>
      <c r="K68" s="162" t="str">
        <f ca="1" t="shared" si="9"/>
        <v>8.0.10.</v>
      </c>
      <c r="L68" s="395" t="s">
        <v>234</v>
      </c>
      <c r="M68" s="395" t="s">
        <v>284</v>
      </c>
      <c r="N68" s="398" t="s">
        <v>398</v>
      </c>
      <c r="O68" s="399" t="s">
        <v>450</v>
      </c>
      <c r="P68" s="225">
        <f ca="1">OFFSET(PLQ!$E$12,ROW($P68)-ROW(P$12),0)</f>
        <v>4</v>
      </c>
      <c r="Q68" s="229"/>
      <c r="R68" s="232" t="s">
        <v>7</v>
      </c>
      <c r="S68" s="121">
        <f t="shared" si="10"/>
        <v>0</v>
      </c>
      <c r="T68" s="98">
        <f ca="1" t="shared" si="11"/>
        <v>0</v>
      </c>
      <c r="U68" s="13" t="str">
        <f ca="1" t="shared" si="12"/>
        <v>SEM VALOR</v>
      </c>
      <c r="V68" s="4" t="str">
        <f ca="1">IF(OR($A68=0,$A68="S",$A68&gt;CFF!$A$9),"",MAX(V$12:OFFSET(V68,-1,0))+1)</f>
        <v/>
      </c>
      <c r="W68" s="9" t="e">
        <f>IF(AND($J68="Serviço",#REF!&lt;&gt;""),IF(#REF!="",#REF!,CONCATENATE(#REF!,"-",#REF!)))</f>
        <v>#REF!</v>
      </c>
      <c r="X68" s="4">
        <f ca="1" t="shared" si="14"/>
        <v>4096</v>
      </c>
      <c r="Y68" s="121">
        <v>58.2</v>
      </c>
      <c r="Z68" s="132">
        <f ca="1">ROUND(IF(ISNUMBER(R68),R68,IF(LEFT(R68,3)="BDI",HLOOKUP(R68,DADOS!$T$37:$X$38,2,FALSE),0)),15-11*$X$5)</f>
        <v>0.2034</v>
      </c>
      <c r="AA68" s="4"/>
    </row>
    <row r="69" spans="1:27" ht="12.75" customHeight="1">
      <c r="A69" t="str">
        <f>CHOOSE(1+LOG(1+2*(J69="Meta")+4*(J69="Nível 2")+8*(J69="Nível 3")+16*(J69="Nível 4")+32*(J69="Serviço"),2),0,1,2,3,4,"S")</f>
        <v>S</v>
      </c>
      <c r="B69">
        <f>IF(OR(A69="S",A69=0),0,IF(ISERROR(I69),H69,SMALL(H69:I69,1)))</f>
        <v>0</v>
      </c>
      <c r="C69">
        <f ca="1">IF($A69=1,OFFSET(C69,-1,0)+1,OFFSET(C69,-1,0))</f>
        <v>8</v>
      </c>
      <c r="D69">
        <f ca="1">IF($A69=1,0,IF($A69=2,OFFSET(D69,-1,0)+1,OFFSET(D69,-1,0)))</f>
        <v>0</v>
      </c>
      <c r="E69">
        <f ca="1">IF(AND($A69&lt;=2,$A69&lt;&gt;0),0,IF($A69=3,OFFSET(E69,-1,0)+1,OFFSET(E69,-1,0)))</f>
        <v>0</v>
      </c>
      <c r="F69">
        <f ca="1">IF(AND($A69&lt;=3,$A69&lt;&gt;0),0,IF($A69=4,OFFSET(F69,-1,0)+1,OFFSET(F69,-1,0)))</f>
        <v>0</v>
      </c>
      <c r="G69">
        <f ca="1">IF(AND($A69&lt;=4,$A69&lt;&gt;0),0,IF($A69="S",OFFSET(G69,-1,0)+1,OFFSET(G69,-1,0)))</f>
        <v>11</v>
      </c>
      <c r="H69">
        <f ca="1" t="shared" si="19"/>
        <v>0</v>
      </c>
      <c r="I69">
        <f ca="1" t="shared" si="20"/>
        <v>0</v>
      </c>
      <c r="J69" s="394" t="s">
        <v>103</v>
      </c>
      <c r="K69" s="162" t="str">
        <f ca="1">IF($A69=0,"-",CONCATENATE(C69&amp;".",IF(AND($A$5&gt;=2,$A69&gt;=2),D69&amp;".",""),IF(AND($A$5&gt;=3,$A69&gt;=3),E69&amp;".",""),IF(AND($A$5&gt;=4,$A69&gt;=4),F69&amp;".",""),IF($A69="S",G69&amp;".","")))</f>
        <v>8.0.11.</v>
      </c>
      <c r="L69" s="395" t="s">
        <v>234</v>
      </c>
      <c r="M69" s="395" t="s">
        <v>285</v>
      </c>
      <c r="N69" s="398" t="s">
        <v>399</v>
      </c>
      <c r="O69" s="399" t="s">
        <v>450</v>
      </c>
      <c r="P69" s="225">
        <f ca="1">OFFSET(PLQ!$E$12,ROW($P69)-ROW(P$12),0)</f>
        <v>4</v>
      </c>
      <c r="Q69" s="229"/>
      <c r="R69" s="232" t="s">
        <v>7</v>
      </c>
      <c r="S69" s="121">
        <f>IF($A69="S",IF($Q$10="Preço Unitário (R$)",PO.CustoUnitario,ROUND(PO.CustoUnitario*(1+$Z69),15-13*$X$6)),0)</f>
        <v>0</v>
      </c>
      <c r="T69" s="98">
        <f ca="1">IF($A69="S",VTOTAL1,IF($A69=0,0,ROUND(SomaAgrup,15-13*$X$7)))</f>
        <v>0</v>
      </c>
      <c r="U69" s="13" t="str">
        <f ca="1">IF($J69="","",IF($N69="","DESCRIÇÃO",IF(AND($J69="Serviço",$O69=""),"UNIDADE",IF($T69&lt;=0,"SEM VALOR",IF(AND($Y69&lt;&gt;"",$Q69&gt;$Y69),"ACIMA REF.","")))))</f>
        <v>SEM VALOR</v>
      </c>
      <c r="V69" s="4" t="str">
        <f ca="1">IF(OR($A69=0,$A69="S",$A69&gt;CFF!$A$9),"",MAX(V$12:OFFSET(V69,-1,0))+1)</f>
        <v/>
      </c>
      <c r="W69" s="9" t="str">
        <f>IF(AND($J69="Serviço",$M69&lt;&gt;""),IF($L69="",$M69,CONCATENATE($L69,"-",$M69)))</f>
        <v>SINAPI-104352</v>
      </c>
      <c r="X69" s="4">
        <f ca="1">IF(AND(Fonte&lt;&gt;"",Código&lt;&gt;""),MATCH(Fonte&amp;" "&amp;IF(Fonte="sinapi",SUBSTITUTE(SUBSTITUTE(Código,"/00","/"),"/0","/"),Código),INDIRECT("'[Referência "&amp;_XLNM.DATABASE&amp;".xls]Banco'!$a:$a"),0),"X")</f>
        <v>4992</v>
      </c>
      <c r="Y69" s="121">
        <v>51.64</v>
      </c>
      <c r="Z69" s="132">
        <f ca="1">ROUND(IF(ISNUMBER(R69),R69,IF(LEFT(R69,3)="BDI",HLOOKUP(R69,DADOS!$T$37:$X$38,2,FALSE),0)),15-11*$X$5)</f>
        <v>0.2034</v>
      </c>
      <c r="AA69" s="4"/>
    </row>
    <row r="70" spans="1:27" ht="12.75" customHeight="1">
      <c r="A70" t="str">
        <f>CHOOSE(1+LOG(1+2*(J70="Meta")+4*(J70="Nível 2")+8*(J70="Nível 3")+16*(J70="Nível 4")+32*(J70="Serviço"),2),0,1,2,3,4,"S")</f>
        <v>S</v>
      </c>
      <c r="B70">
        <f>IF(OR(A70="S",A70=0),0,IF(ISERROR(I70),H70,SMALL(H70:I70,1)))</f>
        <v>0</v>
      </c>
      <c r="C70">
        <f ca="1">IF($A70=1,OFFSET(C70,-1,0)+1,OFFSET(C70,-1,0))</f>
        <v>8</v>
      </c>
      <c r="D70">
        <f ca="1">IF($A70=1,0,IF($A70=2,OFFSET(D70,-1,0)+1,OFFSET(D70,-1,0)))</f>
        <v>0</v>
      </c>
      <c r="E70">
        <f ca="1">IF(AND($A70&lt;=2,$A70&lt;&gt;0),0,IF($A70=3,OFFSET(E70,-1,0)+1,OFFSET(E70,-1,0)))</f>
        <v>0</v>
      </c>
      <c r="F70">
        <f ca="1">IF(AND($A70&lt;=3,$A70&lt;&gt;0),0,IF($A70=4,OFFSET(F70,-1,0)+1,OFFSET(F70,-1,0)))</f>
        <v>0</v>
      </c>
      <c r="G70">
        <f ca="1">IF(AND($A70&lt;=4,$A70&lt;&gt;0),0,IF($A70="S",OFFSET(G70,-1,0)+1,OFFSET(G70,-1,0)))</f>
        <v>12</v>
      </c>
      <c r="H70">
        <f ca="1" t="shared" si="19"/>
        <v>0</v>
      </c>
      <c r="I70">
        <f ca="1" t="shared" si="20"/>
        <v>0</v>
      </c>
      <c r="J70" s="394" t="s">
        <v>103</v>
      </c>
      <c r="K70" s="162" t="str">
        <f ca="1">IF($A70=0,"-",CONCATENATE(C70&amp;".",IF(AND($A$5&gt;=2,$A70&gt;=2),D70&amp;".",""),IF(AND($A$5&gt;=3,$A70&gt;=3),E70&amp;".",""),IF(AND($A$5&gt;=4,$A70&gt;=4),F70&amp;".",""),IF($A70="S",G70&amp;".","")))</f>
        <v>8.0.12.</v>
      </c>
      <c r="L70" s="395" t="s">
        <v>234</v>
      </c>
      <c r="M70" s="395" t="s">
        <v>278</v>
      </c>
      <c r="N70" s="398" t="s">
        <v>400</v>
      </c>
      <c r="O70" s="399" t="s">
        <v>450</v>
      </c>
      <c r="P70" s="225">
        <f ca="1">OFFSET(PLQ!$E$12,ROW($P70)-ROW(P$12),0)</f>
        <v>4</v>
      </c>
      <c r="Q70" s="229"/>
      <c r="R70" s="232" t="s">
        <v>7</v>
      </c>
      <c r="S70" s="121">
        <f>IF($A70="S",IF($Q$10="Preço Unitário (R$)",PO.CustoUnitario,ROUND(PO.CustoUnitario*(1+$Z70),15-13*$X$6)),0)</f>
        <v>0</v>
      </c>
      <c r="T70" s="98">
        <f ca="1">IF($A70="S",VTOTAL1,IF($A70=0,0,ROUND(SomaAgrup,15-13*$X$7)))</f>
        <v>0</v>
      </c>
      <c r="U70" s="13" t="str">
        <f ca="1">IF($J70="","",IF($N70="","DESCRIÇÃO",IF(AND($J70="Serviço",$O70=""),"UNIDADE",IF($T70&lt;=0,"SEM VALOR",IF(AND($Y70&lt;&gt;"",$Q70&gt;$Y70),"ACIMA REF.","")))))</f>
        <v>SEM VALOR</v>
      </c>
      <c r="V70" s="4" t="str">
        <f ca="1">IF(OR($A70=0,$A70="S",$A70&gt;CFF!$A$9),"",MAX(V$12:OFFSET(V70,-1,0))+1)</f>
        <v/>
      </c>
      <c r="W70" s="9" t="str">
        <f>IF(AND($J70="Serviço",$M70&lt;&gt;""),IF($L70="",$M70,CONCATENATE($L70,"-",$M70)))</f>
        <v>SINAPI-97901</v>
      </c>
      <c r="X70" s="4">
        <f ca="1">IF(AND(Fonte&lt;&gt;"",Código&lt;&gt;""),MATCH(Fonte&amp;" "&amp;IF(Fonte="sinapi",SUBSTITUTE(SUBSTITUTE(Código,"/00","/"),"/0","/"),Código),INDIRECT("'[Referência "&amp;_XLNM.DATABASE&amp;".xls]Banco'!$a:$a"),0),"X")</f>
        <v>5011</v>
      </c>
      <c r="Y70" s="121">
        <v>348.12</v>
      </c>
      <c r="Z70" s="132">
        <f ca="1">ROUND(IF(ISNUMBER(R70),R70,IF(LEFT(R70,3)="BDI",HLOOKUP(R70,DADOS!$T$37:$X$38,2,FALSE),0)),15-11*$X$5)</f>
        <v>0.2034</v>
      </c>
      <c r="AA70" s="4"/>
    </row>
    <row r="71" spans="1:27" ht="12.75" customHeight="1">
      <c r="A71" t="str">
        <f>CHOOSE(1+LOG(1+2*(J71="Meta")+4*(J71="Nível 2")+8*(J71="Nível 3")+16*(J71="Nível 4")+32*(J71="Serviço"),2),0,1,2,3,4,"S")</f>
        <v>S</v>
      </c>
      <c r="B71">
        <f>IF(OR(A71="S",A71=0),0,IF(ISERROR(I71),H71,SMALL(H71:I71,1)))</f>
        <v>0</v>
      </c>
      <c r="C71">
        <f ca="1">IF($A71=1,OFFSET(C71,-1,0)+1,OFFSET(C71,-1,0))</f>
        <v>8</v>
      </c>
      <c r="D71">
        <f ca="1">IF($A71=1,0,IF($A71=2,OFFSET(D71,-1,0)+1,OFFSET(D71,-1,0)))</f>
        <v>0</v>
      </c>
      <c r="E71">
        <f ca="1">IF(AND($A71&lt;=2,$A71&lt;&gt;0),0,IF($A71=3,OFFSET(E71,-1,0)+1,OFFSET(E71,-1,0)))</f>
        <v>0</v>
      </c>
      <c r="F71">
        <f ca="1">IF(AND($A71&lt;=3,$A71&lt;&gt;0),0,IF($A71=4,OFFSET(F71,-1,0)+1,OFFSET(F71,-1,0)))</f>
        <v>0</v>
      </c>
      <c r="G71">
        <f ca="1">IF(AND($A71&lt;=4,$A71&lt;&gt;0),0,IF($A71="S",OFFSET(G71,-1,0)+1,OFFSET(G71,-1,0)))</f>
        <v>13</v>
      </c>
      <c r="H71">
        <f ca="1" t="shared" si="19"/>
        <v>0</v>
      </c>
      <c r="I71">
        <f ca="1" t="shared" si="20"/>
        <v>0</v>
      </c>
      <c r="J71" s="394" t="s">
        <v>103</v>
      </c>
      <c r="K71" s="162" t="str">
        <f ca="1">IF($A71=0,"-",CONCATENATE(C71&amp;".",IF(AND($A$5&gt;=2,$A71&gt;=2),D71&amp;".",""),IF(AND($A$5&gt;=3,$A71&gt;=3),E71&amp;".",""),IF(AND($A$5&gt;=4,$A71&gt;=4),F71&amp;".",""),IF($A71="S",G71&amp;".","")))</f>
        <v>8.0.13.</v>
      </c>
      <c r="L71" s="395" t="s">
        <v>234</v>
      </c>
      <c r="M71" s="395" t="s">
        <v>349</v>
      </c>
      <c r="N71" s="398" t="s">
        <v>401</v>
      </c>
      <c r="O71" s="399" t="s">
        <v>450</v>
      </c>
      <c r="P71" s="225">
        <f ca="1">OFFSET(PLQ!$E$12,ROW($P71)-ROW(P$12),0)</f>
        <v>3</v>
      </c>
      <c r="Q71" s="229"/>
      <c r="R71" s="232" t="s">
        <v>7</v>
      </c>
      <c r="S71" s="121">
        <f>IF($A71="S",IF($Q$10="Preço Unitário (R$)",PO.CustoUnitario,ROUND(PO.CustoUnitario*(1+$Z71),15-13*$X$6)),0)</f>
        <v>0</v>
      </c>
      <c r="T71" s="98">
        <f ca="1">IF($A71="S",VTOTAL1,IF($A71=0,0,ROUND(SomaAgrup,15-13*$X$7)))</f>
        <v>0</v>
      </c>
      <c r="U71" s="13" t="str">
        <f ca="1">IF($J71="","",IF($N71="","DESCRIÇÃO",IF(AND($J71="Serviço",$O71=""),"UNIDADE",IF($T71&lt;=0,"SEM VALOR",IF(AND($Y71&lt;&gt;"",$Q71&gt;$Y71),"ACIMA REF.","")))))</f>
        <v>SEM VALOR</v>
      </c>
      <c r="V71" s="4" t="str">
        <f ca="1">IF(OR($A71=0,$A71="S",$A71&gt;CFF!$A$9),"",MAX(V$12:OFFSET(V71,-1,0))+1)</f>
        <v/>
      </c>
      <c r="W71" s="9" t="str">
        <f>IF(AND($J71="Serviço",$M71&lt;&gt;""),IF($L71="",$M71,CONCATENATE($L71,"-",$M71)))</f>
        <v>SINAPI-98102</v>
      </c>
      <c r="X71" s="4">
        <f ca="1">IF(AND(Fonte&lt;&gt;"",Código&lt;&gt;""),MATCH(Fonte&amp;" "&amp;IF(Fonte="sinapi",SUBSTITUTE(SUBSTITUTE(Código,"/00","/"),"/0","/"),Código),INDIRECT("'[Referência "&amp;_XLNM.DATABASE&amp;".xls]Banco'!$a:$a"),0),"X")</f>
        <v>5019</v>
      </c>
      <c r="Y71" s="121">
        <v>206.91</v>
      </c>
      <c r="Z71" s="132">
        <f ca="1">ROUND(IF(ISNUMBER(R71),R71,IF(LEFT(R71,3)="BDI",HLOOKUP(R71,DADOS!$T$37:$X$38,2,FALSE),0)),15-11*$X$5)</f>
        <v>0.2034</v>
      </c>
      <c r="AA71" s="4"/>
    </row>
    <row r="72" spans="1:27" ht="12.75" customHeight="1">
      <c r="A72" t="str">
        <f>CHOOSE(1+LOG(1+2*(J72="Meta")+4*(J72="Nível 2")+8*(J72="Nível 3")+16*(J72="Nível 4")+32*(J72="Serviço"),2),0,1,2,3,4,"S")</f>
        <v>S</v>
      </c>
      <c r="B72">
        <f>IF(OR(A72="S",A72=0),0,IF(ISERROR(I72),H72,SMALL(H72:I72,1)))</f>
        <v>0</v>
      </c>
      <c r="C72">
        <f ca="1">IF($A72=1,OFFSET(C72,-1,0)+1,OFFSET(C72,-1,0))</f>
        <v>8</v>
      </c>
      <c r="D72">
        <f ca="1">IF($A72=1,0,IF($A72=2,OFFSET(D72,-1,0)+1,OFFSET(D72,-1,0)))</f>
        <v>0</v>
      </c>
      <c r="E72">
        <f ca="1">IF(AND($A72&lt;=2,$A72&lt;&gt;0),0,IF($A72=3,OFFSET(E72,-1,0)+1,OFFSET(E72,-1,0)))</f>
        <v>0</v>
      </c>
      <c r="F72">
        <f ca="1">IF(AND($A72&lt;=3,$A72&lt;&gt;0),0,IF($A72=4,OFFSET(F72,-1,0)+1,OFFSET(F72,-1,0)))</f>
        <v>0</v>
      </c>
      <c r="G72">
        <f ca="1">IF(AND($A72&lt;=4,$A72&lt;&gt;0),0,IF($A72="S",OFFSET(G72,-1,0)+1,OFFSET(G72,-1,0)))</f>
        <v>14</v>
      </c>
      <c r="H72">
        <f ca="1" t="shared" si="19"/>
        <v>0</v>
      </c>
      <c r="I72">
        <f ca="1" t="shared" si="20"/>
        <v>0</v>
      </c>
      <c r="J72" s="394" t="s">
        <v>103</v>
      </c>
      <c r="K72" s="162" t="str">
        <f ca="1">IF($A72=0,"-",CONCATENATE(C72&amp;".",IF(AND($A$5&gt;=2,$A72&gt;=2),D72&amp;".",""),IF(AND($A$5&gt;=3,$A72&gt;=3),E72&amp;".",""),IF(AND($A$5&gt;=4,$A72&gt;=4),F72&amp;".",""),IF($A72="S",G72&amp;".","")))</f>
        <v>8.0.14.</v>
      </c>
      <c r="L72" s="395" t="s">
        <v>239</v>
      </c>
      <c r="M72" s="395" t="s">
        <v>279</v>
      </c>
      <c r="N72" s="398" t="s">
        <v>402</v>
      </c>
      <c r="O72" s="399" t="s">
        <v>451</v>
      </c>
      <c r="P72" s="225">
        <f ca="1">OFFSET(PLQ!$E$12,ROW($P72)-ROW(P$12),0)</f>
        <v>2</v>
      </c>
      <c r="Q72" s="229"/>
      <c r="R72" s="232" t="s">
        <v>7</v>
      </c>
      <c r="S72" s="121">
        <f aca="true" t="shared" si="21" ref="S72:S84">IF($A72="S",IF($Q$10="Preço Unitário (R$)",PO.CustoUnitario,ROUND(PO.CustoUnitario*(1+$Z72),15-13*$X$6)),0)</f>
        <v>0</v>
      </c>
      <c r="T72" s="98">
        <f aca="true" ca="1" t="shared" si="22" ref="T72:T84">IF($A72="S",VTOTAL1,IF($A72=0,0,ROUND(SomaAgrup,15-13*$X$7)))</f>
        <v>0</v>
      </c>
      <c r="U72" s="13" t="str">
        <f ca="1">IF($J72="","",IF($N72="","DESCRIÇÃO",IF(AND($J72="Serviço",$O72=""),"UNIDADE",IF($T72&lt;=0,"SEM VALOR",IF(AND($Y72&lt;&gt;"",$Q72&gt;$Y72),"ACIMA REF.","")))))</f>
        <v>SEM VALOR</v>
      </c>
      <c r="V72" s="4" t="str">
        <f ca="1">IF(OR($A72=0,$A72="S",$A72&gt;CFF!$A$9),"",MAX(V$12:OFFSET(V72,-1,0))+1)</f>
        <v/>
      </c>
      <c r="W72" s="9" t="str">
        <f>IF(AND($J72="Serviço",$M72&lt;&gt;""),IF($L72="",$M72,CONCATENATE($L72,"-",$M72)))</f>
        <v>SINAPI-I-39366</v>
      </c>
      <c r="X72" s="4">
        <f aca="true" t="shared" si="23" ref="X72:X84">IF(AND(Fonte&lt;&gt;"",Código&lt;&gt;""),MATCH(Fonte&amp;" "&amp;IF(Fonte="sinapi",SUBSTITUTE(SUBSTITUTE(Código,"/00","/"),"/0","/"),Código),INDIRECT("'[Referência "&amp;_XLNM.DATABASE&amp;".xls]Banco'!$a:$a"),0),"X")</f>
        <v>9612</v>
      </c>
      <c r="Y72" s="121">
        <v>3693.62</v>
      </c>
      <c r="Z72" s="132">
        <f ca="1">ROUND(IF(ISNUMBER(R72),R72,IF(LEFT(R72,3)="BDI",HLOOKUP(R72,DADOS!$T$37:$X$38,2,FALSE),0)),15-11*$X$5)</f>
        <v>0.2034</v>
      </c>
      <c r="AA72" s="4"/>
    </row>
    <row r="73" spans="1:27" ht="12.75" customHeight="1">
      <c r="A73" t="str">
        <f>CHOOSE(1+LOG(1+2*(J73="Meta")+4*(J73="Nível 2")+8*(J73="Nível 3")+16*(J73="Nível 4")+32*(J73="Serviço"),2),0,1,2,3,4,"S")</f>
        <v>S</v>
      </c>
      <c r="B73">
        <f>IF(OR(A73="S",A73=0),0,IF(ISERROR(I73),H73,SMALL(H73:I73,1)))</f>
        <v>0</v>
      </c>
      <c r="C73">
        <f ca="1">IF($A73=1,OFFSET(C73,-1,0)+1,OFFSET(C73,-1,0))</f>
        <v>8</v>
      </c>
      <c r="D73">
        <f ca="1">IF($A73=1,0,IF($A73=2,OFFSET(D73,-1,0)+1,OFFSET(D73,-1,0)))</f>
        <v>0</v>
      </c>
      <c r="E73">
        <f ca="1">IF(AND($A73&lt;=2,$A73&lt;&gt;0),0,IF($A73=3,OFFSET(E73,-1,0)+1,OFFSET(E73,-1,0)))</f>
        <v>0</v>
      </c>
      <c r="F73">
        <f ca="1">IF(AND($A73&lt;=3,$A73&lt;&gt;0),0,IF($A73=4,OFFSET(F73,-1,0)+1,OFFSET(F73,-1,0)))</f>
        <v>0</v>
      </c>
      <c r="G73">
        <f ca="1">IF(AND($A73&lt;=4,$A73&lt;&gt;0),0,IF($A73="S",OFFSET(G73,-1,0)+1,OFFSET(G73,-1,0)))</f>
        <v>15</v>
      </c>
      <c r="H73">
        <f ca="1" t="shared" si="19"/>
        <v>0</v>
      </c>
      <c r="I73">
        <f ca="1" t="shared" si="20"/>
        <v>0</v>
      </c>
      <c r="J73" s="394" t="s">
        <v>103</v>
      </c>
      <c r="K73" s="162" t="str">
        <f ca="1">IF($A73=0,"-",CONCATENATE(C73&amp;".",IF(AND($A$5&gt;=2,$A73&gt;=2),D73&amp;".",""),IF(AND($A$5&gt;=3,$A73&gt;=3),E73&amp;".",""),IF(AND($A$5&gt;=4,$A73&gt;=4),F73&amp;".",""),IF($A73="S",G73&amp;".","")))</f>
        <v>8.0.15.</v>
      </c>
      <c r="L73" s="395" t="s">
        <v>239</v>
      </c>
      <c r="M73" s="395" t="s">
        <v>280</v>
      </c>
      <c r="N73" s="398" t="s">
        <v>403</v>
      </c>
      <c r="O73" s="399" t="s">
        <v>451</v>
      </c>
      <c r="P73" s="225">
        <f ca="1">OFFSET(PLQ!$E$12,ROW($P73)-ROW(P$12),0)</f>
        <v>2</v>
      </c>
      <c r="Q73" s="229"/>
      <c r="R73" s="232" t="s">
        <v>7</v>
      </c>
      <c r="S73" s="121">
        <f t="shared" si="21"/>
        <v>0</v>
      </c>
      <c r="T73" s="98">
        <f ca="1" t="shared" si="22"/>
        <v>0</v>
      </c>
      <c r="U73" s="13" t="str">
        <f ca="1">IF($J73="","",IF($N73="","DESCRIÇÃO",IF(AND($J73="Serviço",$O73=""),"UNIDADE",IF($T73&lt;=0,"SEM VALOR",IF(AND($Y73&lt;&gt;"",$Q73&gt;$Y73),"ACIMA REF.","")))))</f>
        <v>SEM VALOR</v>
      </c>
      <c r="V73" s="4" t="str">
        <f ca="1">IF(OR($A73=0,$A73="S",$A73&gt;CFF!$A$9),"",MAX(V$12:OFFSET(V73,-1,0))+1)</f>
        <v/>
      </c>
      <c r="W73" s="9" t="str">
        <f>IF(AND($J73="Serviço",$M73&lt;&gt;""),IF($L73="",$M73,CONCATENATE($L73,"-",$M73)))</f>
        <v>SINAPI-I-39362</v>
      </c>
      <c r="X73" s="4">
        <f ca="1" t="shared" si="23"/>
        <v>9666</v>
      </c>
      <c r="Y73" s="121">
        <v>3872.97</v>
      </c>
      <c r="Z73" s="132">
        <f ca="1">ROUND(IF(ISNUMBER(R73),R73,IF(LEFT(R73,3)="BDI",HLOOKUP(R73,DADOS!$T$37:$X$38,2,FALSE),0)),15-11*$X$5)</f>
        <v>0.2034</v>
      </c>
      <c r="AA73" s="4"/>
    </row>
    <row r="74" spans="1:27" ht="12.75" customHeight="1">
      <c r="A74">
        <f aca="true" t="shared" si="24" ref="A74:A84">CHOOSE(1+LOG(1+2*(J74="Meta")+4*(J74="Nível 2")+8*(J74="Nível 3")+16*(J74="Nível 4")+32*(J74="Serviço"),2),0,1,2,3,4,"S")</f>
        <v>1</v>
      </c>
      <c r="B74">
        <f aca="true" t="shared" si="25" ref="B74:B84">IF(OR(A74="S",A74=0),0,IF(ISERROR(I74),H74,SMALL(H74:I74,1)))</f>
        <v>11</v>
      </c>
      <c r="C74">
        <f aca="true" ca="1" t="shared" si="26" ref="C74:C84">IF($A74=1,OFFSET(C74,-1,0)+1,OFFSET(C74,-1,0))</f>
        <v>9</v>
      </c>
      <c r="D74">
        <f aca="true" ca="1" t="shared" si="27" ref="D74:D84">IF($A74=1,0,IF($A74=2,OFFSET(D74,-1,0)+1,OFFSET(D74,-1,0)))</f>
        <v>0</v>
      </c>
      <c r="E74">
        <f aca="true" ca="1" t="shared" si="28" ref="E74:E84">IF(AND($A74&lt;=2,$A74&lt;&gt;0),0,IF($A74=3,OFFSET(E74,-1,0)+1,OFFSET(E74,-1,0)))</f>
        <v>0</v>
      </c>
      <c r="F74">
        <f aca="true" ca="1" t="shared" si="29" ref="F74:F84">IF(AND($A74&lt;=3,$A74&lt;&gt;0),0,IF($A74=4,OFFSET(F74,-1,0)+1,OFFSET(F74,-1,0)))</f>
        <v>0</v>
      </c>
      <c r="G74">
        <f aca="true" ca="1" t="shared" si="30" ref="G74:G84">IF(AND($A74&lt;=4,$A74&lt;&gt;0),0,IF($A74="S",OFFSET(G74,-1,0)+1,OFFSET(G74,-1,0)))</f>
        <v>0</v>
      </c>
      <c r="H74">
        <f ca="1" t="shared" si="19"/>
        <v>60</v>
      </c>
      <c r="I74">
        <f ca="1" t="shared" si="20"/>
        <v>11</v>
      </c>
      <c r="J74" s="394" t="s">
        <v>99</v>
      </c>
      <c r="K74" s="162" t="str">
        <f aca="true" t="shared" si="31" ref="K74:K84">IF($A74=0,"-",CONCATENATE(C74&amp;".",IF(AND($A$5&gt;=2,$A74&gt;=2),D74&amp;".",""),IF(AND($A$5&gt;=3,$A74&gt;=3),E74&amp;".",""),IF(AND($A$5&gt;=4,$A74&gt;=4),F74&amp;".",""),IF($A74="S",G74&amp;".","")))</f>
        <v>9.</v>
      </c>
      <c r="L74" s="395"/>
      <c r="M74" s="395"/>
      <c r="N74" s="398" t="s">
        <v>264</v>
      </c>
      <c r="O74" s="399" t="s">
        <v>106</v>
      </c>
      <c r="P74" s="225">
        <f ca="1">OFFSET(PLQ!$E$12,ROW($P74)-ROW(P$12),0)</f>
        <v>0</v>
      </c>
      <c r="Q74" s="229"/>
      <c r="R74" s="232" t="s">
        <v>7</v>
      </c>
      <c r="S74" s="121">
        <f t="shared" si="21"/>
        <v>0</v>
      </c>
      <c r="T74" s="98">
        <f ca="1" t="shared" si="22"/>
        <v>0</v>
      </c>
      <c r="U74" s="13" t="str">
        <f aca="true" t="shared" si="32" ref="U74:U84">IF($J74="","",IF($N74="","DESCRIÇÃO",IF(AND($J74="Serviço",$O74=""),"UNIDADE",IF($T74&lt;=0,"SEM VALOR",IF(AND($Y74&lt;&gt;"",$Q74&gt;$Y74),"ACIMA REF.","")))))</f>
        <v>SEM VALOR</v>
      </c>
      <c r="V74" s="4">
        <f ca="1">IF(OR($A74=0,$A74="S",$A74&gt;CFF!$A$9),"",MAX(V$12:OFFSET(V74,-1,0))+1)</f>
        <v>13</v>
      </c>
      <c r="W74" s="9" t="b">
        <f aca="true" t="shared" si="33" ref="W74:W84">IF(AND($J74="Serviço",$M74&lt;&gt;""),IF($L74="",$M74,CONCATENATE($L74,"-",$M74)))</f>
        <v>0</v>
      </c>
      <c r="X74" s="4" t="str">
        <f ca="1" t="shared" si="23"/>
        <v>X</v>
      </c>
      <c r="Y74" s="121">
        <v>0</v>
      </c>
      <c r="Z74" s="132">
        <f ca="1">ROUND(IF(ISNUMBER(R74),R74,IF(LEFT(R74,3)="BDI",HLOOKUP(R74,DADOS!$T$37:$X$38,2,FALSE),0)),15-11*$X$5)</f>
        <v>0.2034</v>
      </c>
      <c r="AA74" s="4"/>
    </row>
    <row r="75" spans="1:27" ht="12.75" customHeight="1">
      <c r="A75" t="str">
        <f t="shared" si="24"/>
        <v>S</v>
      </c>
      <c r="B75">
        <f t="shared" si="25"/>
        <v>0</v>
      </c>
      <c r="C75">
        <f ca="1" t="shared" si="26"/>
        <v>9</v>
      </c>
      <c r="D75">
        <f ca="1" t="shared" si="27"/>
        <v>0</v>
      </c>
      <c r="E75">
        <f ca="1" t="shared" si="28"/>
        <v>0</v>
      </c>
      <c r="F75">
        <f ca="1" t="shared" si="29"/>
        <v>0</v>
      </c>
      <c r="G75">
        <f ca="1" t="shared" si="30"/>
        <v>1</v>
      </c>
      <c r="H75">
        <f ca="1" t="shared" si="19"/>
        <v>0</v>
      </c>
      <c r="I75">
        <f ca="1" t="shared" si="20"/>
        <v>0</v>
      </c>
      <c r="J75" s="394" t="s">
        <v>103</v>
      </c>
      <c r="K75" s="162" t="str">
        <f ca="1" t="shared" si="31"/>
        <v>9.0.1.</v>
      </c>
      <c r="L75" s="395" t="s">
        <v>239</v>
      </c>
      <c r="M75" s="395" t="s">
        <v>290</v>
      </c>
      <c r="N75" s="398" t="s">
        <v>404</v>
      </c>
      <c r="O75" s="399" t="s">
        <v>451</v>
      </c>
      <c r="P75" s="225">
        <f ca="1">OFFSET(PLQ!$E$12,ROW($P75)-ROW(P$12),0)</f>
        <v>8</v>
      </c>
      <c r="Q75" s="229"/>
      <c r="R75" s="232" t="s">
        <v>7</v>
      </c>
      <c r="S75" s="121">
        <f t="shared" si="21"/>
        <v>0</v>
      </c>
      <c r="T75" s="98">
        <f ca="1" t="shared" si="22"/>
        <v>0</v>
      </c>
      <c r="U75" s="13" t="str">
        <f ca="1" t="shared" si="32"/>
        <v>SEM VALOR</v>
      </c>
      <c r="V75" s="4" t="str">
        <f ca="1">IF(OR($A75=0,$A75="S",$A75&gt;CFF!$A$9),"",MAX(V$12:OFFSET(V75,-1,0))+1)</f>
        <v/>
      </c>
      <c r="W75" s="9" t="str">
        <f t="shared" si="33"/>
        <v>SINAPI-I-44019</v>
      </c>
      <c r="X75" s="4">
        <f ca="1" t="shared" si="23"/>
        <v>7943</v>
      </c>
      <c r="Y75" s="121">
        <v>642.74</v>
      </c>
      <c r="Z75" s="132">
        <f ca="1">ROUND(IF(ISNUMBER(R75),R75,IF(LEFT(R75,3)="BDI",HLOOKUP(R75,DADOS!$T$37:$X$38,2,FALSE),0)),15-11*$X$5)</f>
        <v>0.2034</v>
      </c>
      <c r="AA75" s="4"/>
    </row>
    <row r="76" spans="1:27" ht="12.75" customHeight="1">
      <c r="A76" t="str">
        <f>CHOOSE(1+LOG(1+2*(J76="Meta")+4*(J76="Nível 2")+8*(J76="Nível 3")+16*(J76="Nível 4")+32*(J76="Serviço"),2),0,1,2,3,4,"S")</f>
        <v>S</v>
      </c>
      <c r="B76">
        <f>IF(OR(A76="S",A76=0),0,IF(ISERROR(I76),H76,SMALL(H76:I76,1)))</f>
        <v>0</v>
      </c>
      <c r="C76">
        <f ca="1">IF($A76=1,OFFSET(C76,-1,0)+1,OFFSET(C76,-1,0))</f>
        <v>9</v>
      </c>
      <c r="D76">
        <f ca="1">IF($A76=1,0,IF($A76=2,OFFSET(D76,-1,0)+1,OFFSET(D76,-1,0)))</f>
        <v>0</v>
      </c>
      <c r="E76">
        <f ca="1">IF(AND($A76&lt;=2,$A76&lt;&gt;0),0,IF($A76=3,OFFSET(E76,-1,0)+1,OFFSET(E76,-1,0)))</f>
        <v>0</v>
      </c>
      <c r="F76">
        <f ca="1">IF(AND($A76&lt;=3,$A76&lt;&gt;0),0,IF($A76=4,OFFSET(F76,-1,0)+1,OFFSET(F76,-1,0)))</f>
        <v>0</v>
      </c>
      <c r="G76">
        <f ca="1">IF(AND($A76&lt;=4,$A76&lt;&gt;0),0,IF($A76="S",OFFSET(G76,-1,0)+1,OFFSET(G76,-1,0)))</f>
        <v>2</v>
      </c>
      <c r="H76">
        <f ca="1" t="shared" si="19"/>
        <v>0</v>
      </c>
      <c r="I76">
        <f ca="1" t="shared" si="20"/>
        <v>0</v>
      </c>
      <c r="J76" s="394" t="s">
        <v>103</v>
      </c>
      <c r="K76" s="162" t="str">
        <f ca="1">IF($A76=0,"-",CONCATENATE(C76&amp;".",IF(AND($A$5&gt;=2,$A76&gt;=2),D76&amp;".",""),IF(AND($A$5&gt;=3,$A76&gt;=3),E76&amp;".",""),IF(AND($A$5&gt;=4,$A76&gt;=4),F76&amp;".",""),IF($A76="S",G76&amp;".","")))</f>
        <v>9.0.2.</v>
      </c>
      <c r="L76" s="395" t="s">
        <v>234</v>
      </c>
      <c r="M76" s="395" t="s">
        <v>330</v>
      </c>
      <c r="N76" s="398" t="s">
        <v>405</v>
      </c>
      <c r="O76" s="399" t="s">
        <v>450</v>
      </c>
      <c r="P76" s="225">
        <f ca="1">OFFSET(PLQ!$E$12,ROW($P76)-ROW(P$12),0)</f>
        <v>2</v>
      </c>
      <c r="Q76" s="229"/>
      <c r="R76" s="232" t="s">
        <v>7</v>
      </c>
      <c r="S76" s="121">
        <f>IF($A76="S",IF($Q$10="Preço Unitário (R$)",PO.CustoUnitario,ROUND(PO.CustoUnitario*(1+$Z76),15-13*$X$6)),0)</f>
        <v>0</v>
      </c>
      <c r="T76" s="98">
        <f ca="1">IF($A76="S",VTOTAL1,IF($A76=0,0,ROUND(SomaAgrup,15-13*$X$7)))</f>
        <v>0</v>
      </c>
      <c r="U76" s="13" t="str">
        <f ca="1">IF($J76="","",IF($N76="","DESCRIÇÃO",IF(AND($J76="Serviço",$O76=""),"UNIDADE",IF($T76&lt;=0,"SEM VALOR",IF(AND($Y76&lt;&gt;"",$Q76&gt;$Y76),"ACIMA REF.","")))))</f>
        <v>SEM VALOR</v>
      </c>
      <c r="V76" s="4" t="str">
        <f ca="1">IF(OR($A76=0,$A76="S",$A76&gt;CFF!$A$9),"",MAX(V$12:OFFSET(V76,-1,0))+1)</f>
        <v/>
      </c>
      <c r="W76" s="9" t="str">
        <f>IF(AND($J76="Serviço",$M76&lt;&gt;""),IF($L76="",$M76,CONCATENATE($L76,"-",$M76)))</f>
        <v>SINAPI-95471</v>
      </c>
      <c r="X76" s="4">
        <f ca="1">IF(AND(Fonte&lt;&gt;"",Código&lt;&gt;""),MATCH(Fonte&amp;" "&amp;IF(Fonte="sinapi",SUBSTITUTE(SUBSTITUTE(Código,"/00","/"),"/0","/"),Código),INDIRECT("'[Referência "&amp;_XLNM.DATABASE&amp;".xls]Banco'!$a:$a"),0),"X")</f>
        <v>5149</v>
      </c>
      <c r="Y76" s="121">
        <v>919.58</v>
      </c>
      <c r="Z76" s="132">
        <f ca="1">ROUND(IF(ISNUMBER(R76),R76,IF(LEFT(R76,3)="BDI",HLOOKUP(R76,DADOS!$T$37:$X$38,2,FALSE),0)),15-11*$X$5)</f>
        <v>0.2034</v>
      </c>
      <c r="AA76" s="4"/>
    </row>
    <row r="77" spans="1:27" ht="12.75" customHeight="1">
      <c r="A77" t="str">
        <f>CHOOSE(1+LOG(1+2*(J77="Meta")+4*(J77="Nível 2")+8*(J77="Nível 3")+16*(J77="Nível 4")+32*(J77="Serviço"),2),0,1,2,3,4,"S")</f>
        <v>S</v>
      </c>
      <c r="B77">
        <f>IF(OR(A77="S",A77=0),0,IF(ISERROR(I77),H77,SMALL(H77:I77,1)))</f>
        <v>0</v>
      </c>
      <c r="C77">
        <f ca="1">IF($A77=1,OFFSET(C77,-1,0)+1,OFFSET(C77,-1,0))</f>
        <v>9</v>
      </c>
      <c r="D77">
        <f ca="1">IF($A77=1,0,IF($A77=2,OFFSET(D77,-1,0)+1,OFFSET(D77,-1,0)))</f>
        <v>0</v>
      </c>
      <c r="E77">
        <f ca="1">IF(AND($A77&lt;=2,$A77&lt;&gt;0),0,IF($A77=3,OFFSET(E77,-1,0)+1,OFFSET(E77,-1,0)))</f>
        <v>0</v>
      </c>
      <c r="F77">
        <f ca="1">IF(AND($A77&lt;=3,$A77&lt;&gt;0),0,IF($A77=4,OFFSET(F77,-1,0)+1,OFFSET(F77,-1,0)))</f>
        <v>0</v>
      </c>
      <c r="G77">
        <f ca="1">IF(AND($A77&lt;=4,$A77&lt;&gt;0),0,IF($A77="S",OFFSET(G77,-1,0)+1,OFFSET(G77,-1,0)))</f>
        <v>3</v>
      </c>
      <c r="H77">
        <f aca="true" ca="1" t="shared" si="34" ref="H77:H108">IF(OR($A77="S",$A77=0),0,MATCH(0,OFFSET($B77,1,$A77,ROW($A$134)-ROW($A77)),0))</f>
        <v>0</v>
      </c>
      <c r="I77">
        <f aca="true" ca="1" t="shared" si="35" ref="I77:I108">IF(OR($A77="S",$A77=0),0,MATCH(OFFSET($B77,0,$A77)+1,OFFSET($B77,1,$A77,ROW($A$134)-ROW($A77)),0))</f>
        <v>0</v>
      </c>
      <c r="J77" s="394" t="s">
        <v>103</v>
      </c>
      <c r="K77" s="162" t="str">
        <f ca="1">IF($A77=0,"-",CONCATENATE(C77&amp;".",IF(AND($A$5&gt;=2,$A77&gt;=2),D77&amp;".",""),IF(AND($A$5&gt;=3,$A77&gt;=3),E77&amp;".",""),IF(AND($A$5&gt;=4,$A77&gt;=4),F77&amp;".",""),IF($A77="S",G77&amp;".","")))</f>
        <v>9.0.3.</v>
      </c>
      <c r="L77" s="395" t="s">
        <v>234</v>
      </c>
      <c r="M77" s="395" t="s">
        <v>291</v>
      </c>
      <c r="N77" s="398" t="s">
        <v>406</v>
      </c>
      <c r="O77" s="399" t="s">
        <v>450</v>
      </c>
      <c r="P77" s="225">
        <f ca="1">OFFSET(PLQ!$E$12,ROW($P77)-ROW(P$12),0)</f>
        <v>2</v>
      </c>
      <c r="Q77" s="229"/>
      <c r="R77" s="232" t="s">
        <v>7</v>
      </c>
      <c r="S77" s="121">
        <f t="shared" si="21"/>
        <v>0</v>
      </c>
      <c r="T77" s="98">
        <f ca="1" t="shared" si="22"/>
        <v>0</v>
      </c>
      <c r="U77" s="13" t="str">
        <f ca="1">IF($J77="","",IF($N77="","DESCRIÇÃO",IF(AND($J77="Serviço",$O77=""),"UNIDADE",IF($T77&lt;=0,"SEM VALOR",IF(AND($Y77&lt;&gt;"",$Q77&gt;$Y77),"ACIMA REF.","")))))</f>
        <v>SEM VALOR</v>
      </c>
      <c r="V77" s="4" t="str">
        <f ca="1">IF(OR($A77=0,$A77="S",$A77&gt;CFF!$A$9),"",MAX(V$12:OFFSET(V77,-1,0))+1)</f>
        <v/>
      </c>
      <c r="W77" s="9" t="str">
        <f>IF(AND($J77="Serviço",$M77&lt;&gt;""),IF($L77="",$M77,CONCATENATE($L77,"-",$M77)))</f>
        <v>SINAPI-100859</v>
      </c>
      <c r="X77" s="4">
        <f ca="1" t="shared" si="23"/>
        <v>5166</v>
      </c>
      <c r="Y77" s="121">
        <v>1213.2</v>
      </c>
      <c r="Z77" s="132">
        <f ca="1">ROUND(IF(ISNUMBER(R77),R77,IF(LEFT(R77,3)="BDI",HLOOKUP(R77,DADOS!$T$37:$X$38,2,FALSE),0)),15-11*$X$5)</f>
        <v>0.2034</v>
      </c>
      <c r="AA77" s="4"/>
    </row>
    <row r="78" spans="1:27" ht="12.75" customHeight="1">
      <c r="A78" t="str">
        <f t="shared" si="24"/>
        <v>S</v>
      </c>
      <c r="B78">
        <f t="shared" si="25"/>
        <v>0</v>
      </c>
      <c r="C78">
        <f ca="1" t="shared" si="26"/>
        <v>9</v>
      </c>
      <c r="D78">
        <f ca="1" t="shared" si="27"/>
        <v>0</v>
      </c>
      <c r="E78">
        <f ca="1" t="shared" si="28"/>
        <v>0</v>
      </c>
      <c r="F78">
        <f ca="1" t="shared" si="29"/>
        <v>0</v>
      </c>
      <c r="G78">
        <f ca="1" t="shared" si="30"/>
        <v>4</v>
      </c>
      <c r="H78">
        <f ca="1" t="shared" si="34"/>
        <v>0</v>
      </c>
      <c r="I78">
        <f ca="1" t="shared" si="35"/>
        <v>0</v>
      </c>
      <c r="J78" s="394" t="s">
        <v>103</v>
      </c>
      <c r="K78" s="162" t="str">
        <f ca="1" t="shared" si="31"/>
        <v>9.0.4.</v>
      </c>
      <c r="L78" s="395" t="s">
        <v>234</v>
      </c>
      <c r="M78" s="395" t="s">
        <v>293</v>
      </c>
      <c r="N78" s="398" t="s">
        <v>407</v>
      </c>
      <c r="O78" s="399" t="s">
        <v>450</v>
      </c>
      <c r="P78" s="225">
        <f ca="1">OFFSET(PLQ!$E$12,ROW($P78)-ROW(P$12),0)</f>
        <v>6</v>
      </c>
      <c r="Q78" s="229"/>
      <c r="R78" s="232" t="s">
        <v>7</v>
      </c>
      <c r="S78" s="121">
        <f t="shared" si="21"/>
        <v>0</v>
      </c>
      <c r="T78" s="98">
        <f ca="1" t="shared" si="22"/>
        <v>0</v>
      </c>
      <c r="U78" s="13" t="str">
        <f ca="1" t="shared" si="32"/>
        <v>SEM VALOR</v>
      </c>
      <c r="V78" s="4" t="str">
        <f ca="1">IF(OR($A78=0,$A78="S",$A78&gt;CFF!$A$9),"",MAX(V$12:OFFSET(V78,-1,0))+1)</f>
        <v/>
      </c>
      <c r="W78" s="9" t="str">
        <f t="shared" si="33"/>
        <v>SINAPI-93396</v>
      </c>
      <c r="X78" s="4">
        <f ca="1" t="shared" si="23"/>
        <v>5144</v>
      </c>
      <c r="Y78" s="121">
        <v>901.54</v>
      </c>
      <c r="Z78" s="132">
        <f ca="1">ROUND(IF(ISNUMBER(R78),R78,IF(LEFT(R78,3)="BDI",HLOOKUP(R78,DADOS!$T$37:$X$38,2,FALSE),0)),15-11*$X$5)</f>
        <v>0.2034</v>
      </c>
      <c r="AA78" s="4"/>
    </row>
    <row r="79" spans="1:27" ht="12.75" customHeight="1">
      <c r="A79" t="str">
        <f t="shared" si="24"/>
        <v>S</v>
      </c>
      <c r="B79">
        <f t="shared" si="25"/>
        <v>0</v>
      </c>
      <c r="C79">
        <f ca="1" t="shared" si="26"/>
        <v>9</v>
      </c>
      <c r="D79">
        <f ca="1" t="shared" si="27"/>
        <v>0</v>
      </c>
      <c r="E79">
        <f ca="1" t="shared" si="28"/>
        <v>0</v>
      </c>
      <c r="F79">
        <f ca="1" t="shared" si="29"/>
        <v>0</v>
      </c>
      <c r="G79">
        <f ca="1" t="shared" si="30"/>
        <v>5</v>
      </c>
      <c r="H79">
        <f ca="1" t="shared" si="34"/>
        <v>0</v>
      </c>
      <c r="I79">
        <f ca="1" t="shared" si="35"/>
        <v>0</v>
      </c>
      <c r="J79" s="394" t="s">
        <v>103</v>
      </c>
      <c r="K79" s="162" t="str">
        <f ca="1" t="shared" si="31"/>
        <v>9.0.5.</v>
      </c>
      <c r="L79" s="395" t="s">
        <v>234</v>
      </c>
      <c r="M79" s="395" t="s">
        <v>286</v>
      </c>
      <c r="N79" s="398" t="s">
        <v>408</v>
      </c>
      <c r="O79" s="399" t="s">
        <v>450</v>
      </c>
      <c r="P79" s="225">
        <f ca="1">OFFSET(PLQ!$E$12,ROW($P79)-ROW(P$12),0)</f>
        <v>6</v>
      </c>
      <c r="Q79" s="229"/>
      <c r="R79" s="232" t="s">
        <v>7</v>
      </c>
      <c r="S79" s="121">
        <f t="shared" si="21"/>
        <v>0</v>
      </c>
      <c r="T79" s="98">
        <f ca="1" t="shared" si="22"/>
        <v>0</v>
      </c>
      <c r="U79" s="13" t="str">
        <f ca="1" t="shared" si="32"/>
        <v>SEM VALOR</v>
      </c>
      <c r="V79" s="4" t="str">
        <f ca="1">IF(OR($A79=0,$A79="S",$A79&gt;CFF!$A$9),"",MAX(V$12:OFFSET(V79,-1,0))+1)</f>
        <v/>
      </c>
      <c r="W79" s="9" t="str">
        <f t="shared" si="33"/>
        <v>SINAPI-86915</v>
      </c>
      <c r="X79" s="4">
        <f ca="1" t="shared" si="23"/>
        <v>5116</v>
      </c>
      <c r="Y79" s="121">
        <v>267.86</v>
      </c>
      <c r="Z79" s="132">
        <f ca="1">ROUND(IF(ISNUMBER(R79),R79,IF(LEFT(R79,3)="BDI",HLOOKUP(R79,DADOS!$T$37:$X$38,2,FALSE),0)),15-11*$X$5)</f>
        <v>0.2034</v>
      </c>
      <c r="AA79" s="4"/>
    </row>
    <row r="80" spans="1:27" ht="12.75" customHeight="1">
      <c r="A80" t="str">
        <f t="shared" si="24"/>
        <v>S</v>
      </c>
      <c r="B80">
        <f t="shared" si="25"/>
        <v>0</v>
      </c>
      <c r="C80">
        <f ca="1" t="shared" si="26"/>
        <v>9</v>
      </c>
      <c r="D80">
        <f ca="1" t="shared" si="27"/>
        <v>0</v>
      </c>
      <c r="E80">
        <f ca="1" t="shared" si="28"/>
        <v>0</v>
      </c>
      <c r="F80">
        <f ca="1" t="shared" si="29"/>
        <v>0</v>
      </c>
      <c r="G80">
        <f ca="1" t="shared" si="30"/>
        <v>6</v>
      </c>
      <c r="H80">
        <f ca="1" t="shared" si="34"/>
        <v>0</v>
      </c>
      <c r="I80">
        <f ca="1" t="shared" si="35"/>
        <v>0</v>
      </c>
      <c r="J80" s="394" t="s">
        <v>103</v>
      </c>
      <c r="K80" s="162" t="str">
        <f ca="1" t="shared" si="31"/>
        <v>9.0.6.</v>
      </c>
      <c r="L80" s="395" t="s">
        <v>239</v>
      </c>
      <c r="M80" s="395" t="s">
        <v>287</v>
      </c>
      <c r="N80" s="398" t="s">
        <v>409</v>
      </c>
      <c r="O80" s="399" t="s">
        <v>451</v>
      </c>
      <c r="P80" s="225">
        <f ca="1">OFFSET(PLQ!$E$12,ROW($P80)-ROW(P$12),0)</f>
        <v>5</v>
      </c>
      <c r="Q80" s="229"/>
      <c r="R80" s="232" t="s">
        <v>7</v>
      </c>
      <c r="S80" s="121">
        <f t="shared" si="21"/>
        <v>0</v>
      </c>
      <c r="T80" s="98">
        <f ca="1" t="shared" si="22"/>
        <v>0</v>
      </c>
      <c r="U80" s="13" t="str">
        <f ca="1" t="shared" si="32"/>
        <v>SEM VALOR</v>
      </c>
      <c r="V80" s="4" t="str">
        <f ca="1">IF(OR($A80=0,$A80="S",$A80&gt;CFF!$A$9),"",MAX(V$12:OFFSET(V80,-1,0))+1)</f>
        <v/>
      </c>
      <c r="W80" s="9" t="str">
        <f t="shared" si="33"/>
        <v>SINAPI-I-6005</v>
      </c>
      <c r="X80" s="4">
        <f ca="1" t="shared" si="23"/>
        <v>11314</v>
      </c>
      <c r="Y80" s="121">
        <v>125.05</v>
      </c>
      <c r="Z80" s="132">
        <f ca="1">ROUND(IF(ISNUMBER(R80),R80,IF(LEFT(R80,3)="BDI",HLOOKUP(R80,DADOS!$T$37:$X$38,2,FALSE),0)),15-11*$X$5)</f>
        <v>0.2034</v>
      </c>
      <c r="AA80" s="4"/>
    </row>
    <row r="81" spans="1:27" ht="12.75" customHeight="1">
      <c r="A81" t="str">
        <f>CHOOSE(1+LOG(1+2*(J81="Meta")+4*(J81="Nível 2")+8*(J81="Nível 3")+16*(J81="Nível 4")+32*(J81="Serviço"),2),0,1,2,3,4,"S")</f>
        <v>S</v>
      </c>
      <c r="B81">
        <f>IF(OR(A81="S",A81=0),0,IF(ISERROR(I81),H81,SMALL(H81:I81,1)))</f>
        <v>0</v>
      </c>
      <c r="C81">
        <f ca="1">IF($A81=1,OFFSET(C81,-1,0)+1,OFFSET(C81,-1,0))</f>
        <v>9</v>
      </c>
      <c r="D81">
        <f ca="1">IF($A81=1,0,IF($A81=2,OFFSET(D81,-1,0)+1,OFFSET(D81,-1,0)))</f>
        <v>0</v>
      </c>
      <c r="E81">
        <f ca="1">IF(AND($A81&lt;=2,$A81&lt;&gt;0),0,IF($A81=3,OFFSET(E81,-1,0)+1,OFFSET(E81,-1,0)))</f>
        <v>0</v>
      </c>
      <c r="F81">
        <f ca="1">IF(AND($A81&lt;=3,$A81&lt;&gt;0),0,IF($A81=4,OFFSET(F81,-1,0)+1,OFFSET(F81,-1,0)))</f>
        <v>0</v>
      </c>
      <c r="G81">
        <f ca="1">IF(AND($A81&lt;=4,$A81&lt;&gt;0),0,IF($A81="S",OFFSET(G81,-1,0)+1,OFFSET(G81,-1,0)))</f>
        <v>7</v>
      </c>
      <c r="H81">
        <f ca="1" t="shared" si="34"/>
        <v>0</v>
      </c>
      <c r="I81">
        <f ca="1" t="shared" si="35"/>
        <v>0</v>
      </c>
      <c r="J81" s="394" t="s">
        <v>103</v>
      </c>
      <c r="K81" s="162" t="str">
        <f ca="1">IF($A81=0,"-",CONCATENATE(C81&amp;".",IF(AND($A$5&gt;=2,$A81&gt;=2),D81&amp;".",""),IF(AND($A$5&gt;=3,$A81&gt;=3),E81&amp;".",""),IF(AND($A$5&gt;=4,$A81&gt;=4),F81&amp;".",""),IF($A81="S",G81&amp;".","")))</f>
        <v>9.0.7.</v>
      </c>
      <c r="L81" s="395" t="s">
        <v>239</v>
      </c>
      <c r="M81" s="395" t="s">
        <v>292</v>
      </c>
      <c r="N81" s="398" t="s">
        <v>410</v>
      </c>
      <c r="O81" s="399" t="s">
        <v>451</v>
      </c>
      <c r="P81" s="225">
        <f ca="1">OFFSET(PLQ!$E$12,ROW($P81)-ROW(P$12),0)</f>
        <v>2</v>
      </c>
      <c r="Q81" s="229"/>
      <c r="R81" s="232" t="s">
        <v>7</v>
      </c>
      <c r="S81" s="121">
        <f t="shared" si="21"/>
        <v>0</v>
      </c>
      <c r="T81" s="98">
        <f ca="1" t="shared" si="22"/>
        <v>0</v>
      </c>
      <c r="U81" s="13" t="str">
        <f ca="1">IF($J81="","",IF($N81="","DESCRIÇÃO",IF(AND($J81="Serviço",$O81=""),"UNIDADE",IF($T81&lt;=0,"SEM VALOR",IF(AND($Y81&lt;&gt;"",$Q81&gt;$Y81),"ACIMA REF.","")))))</f>
        <v>SEM VALOR</v>
      </c>
      <c r="V81" s="4" t="str">
        <f ca="1">IF(OR($A81=0,$A81="S",$A81&gt;CFF!$A$9),"",MAX(V$12:OFFSET(V81,-1,0))+1)</f>
        <v/>
      </c>
      <c r="W81" s="9" t="str">
        <f>IF(AND($J81="Serviço",$M81&lt;&gt;""),IF($L81="",$M81,CONCATENATE($L81,"-",$M81)))</f>
        <v>SINAPI-I-6024</v>
      </c>
      <c r="X81" s="4">
        <f ca="1" t="shared" si="23"/>
        <v>11320</v>
      </c>
      <c r="Y81" s="121">
        <v>117.93</v>
      </c>
      <c r="Z81" s="132">
        <f ca="1">ROUND(IF(ISNUMBER(R81),R81,IF(LEFT(R81,3)="BDI",HLOOKUP(R81,DADOS!$T$37:$X$38,2,FALSE),0)),15-11*$X$5)</f>
        <v>0.2034</v>
      </c>
      <c r="AA81" s="4"/>
    </row>
    <row r="82" spans="1:27" ht="12.75" customHeight="1">
      <c r="A82" t="str">
        <f t="shared" si="24"/>
        <v>S</v>
      </c>
      <c r="B82">
        <f t="shared" si="25"/>
        <v>0</v>
      </c>
      <c r="C82">
        <f ca="1" t="shared" si="26"/>
        <v>9</v>
      </c>
      <c r="D82">
        <f ca="1" t="shared" si="27"/>
        <v>0</v>
      </c>
      <c r="E82">
        <f ca="1" t="shared" si="28"/>
        <v>0</v>
      </c>
      <c r="F82">
        <f ca="1" t="shared" si="29"/>
        <v>0</v>
      </c>
      <c r="G82">
        <f ca="1" t="shared" si="30"/>
        <v>8</v>
      </c>
      <c r="H82">
        <f ca="1" t="shared" si="34"/>
        <v>0</v>
      </c>
      <c r="I82">
        <f ca="1" t="shared" si="35"/>
        <v>0</v>
      </c>
      <c r="J82" s="394" t="s">
        <v>103</v>
      </c>
      <c r="K82" s="162" t="str">
        <f ca="1" t="shared" si="31"/>
        <v>9.0.8.</v>
      </c>
      <c r="L82" s="395" t="s">
        <v>239</v>
      </c>
      <c r="M82" s="395" t="s">
        <v>288</v>
      </c>
      <c r="N82" s="398" t="s">
        <v>411</v>
      </c>
      <c r="O82" s="399" t="s">
        <v>451</v>
      </c>
      <c r="P82" s="225">
        <f ca="1">OFFSET(PLQ!$E$12,ROW($P82)-ROW(P$12),0)</f>
        <v>10</v>
      </c>
      <c r="Q82" s="229"/>
      <c r="R82" s="232" t="s">
        <v>7</v>
      </c>
      <c r="S82" s="121">
        <f t="shared" si="21"/>
        <v>0</v>
      </c>
      <c r="T82" s="98">
        <f ca="1" t="shared" si="22"/>
        <v>0</v>
      </c>
      <c r="U82" s="13" t="str">
        <f ca="1" t="shared" si="32"/>
        <v>SEM VALOR</v>
      </c>
      <c r="V82" s="4" t="str">
        <f ca="1">IF(OR($A82=0,$A82="S",$A82&gt;CFF!$A$9),"",MAX(V$12:OFFSET(V82,-1,0))+1)</f>
        <v/>
      </c>
      <c r="W82" s="9" t="str">
        <f t="shared" si="33"/>
        <v>SINAPI-I-377</v>
      </c>
      <c r="X82" s="4">
        <f ca="1" t="shared" si="23"/>
        <v>7917</v>
      </c>
      <c r="Y82" s="121">
        <v>45.67</v>
      </c>
      <c r="Z82" s="132">
        <f ca="1">ROUND(IF(ISNUMBER(R82),R82,IF(LEFT(R82,3)="BDI",HLOOKUP(R82,DADOS!$T$37:$X$38,2,FALSE),0)),15-11*$X$5)</f>
        <v>0.2034</v>
      </c>
      <c r="AA82" s="4"/>
    </row>
    <row r="83" spans="1:27" ht="12.75" customHeight="1">
      <c r="A83" t="str">
        <f t="shared" si="24"/>
        <v>S</v>
      </c>
      <c r="B83">
        <f t="shared" si="25"/>
        <v>0</v>
      </c>
      <c r="C83">
        <f ca="1" t="shared" si="26"/>
        <v>9</v>
      </c>
      <c r="D83">
        <f ca="1" t="shared" si="27"/>
        <v>0</v>
      </c>
      <c r="E83">
        <f ca="1" t="shared" si="28"/>
        <v>0</v>
      </c>
      <c r="F83">
        <f ca="1" t="shared" si="29"/>
        <v>0</v>
      </c>
      <c r="G83">
        <f ca="1" t="shared" si="30"/>
        <v>9</v>
      </c>
      <c r="H83">
        <f ca="1" t="shared" si="34"/>
        <v>0</v>
      </c>
      <c r="I83">
        <f ca="1" t="shared" si="35"/>
        <v>0</v>
      </c>
      <c r="J83" s="394" t="s">
        <v>103</v>
      </c>
      <c r="K83" s="162" t="str">
        <f ca="1" t="shared" si="31"/>
        <v>9.0.9.</v>
      </c>
      <c r="L83" s="395" t="s">
        <v>239</v>
      </c>
      <c r="M83" s="395" t="s">
        <v>258</v>
      </c>
      <c r="N83" s="398" t="s">
        <v>412</v>
      </c>
      <c r="O83" s="399" t="s">
        <v>247</v>
      </c>
      <c r="P83" s="225">
        <f ca="1">OFFSET(PLQ!$E$12,ROW($P83)-ROW(P$12),0)</f>
        <v>4</v>
      </c>
      <c r="Q83" s="229"/>
      <c r="R83" s="232" t="s">
        <v>7</v>
      </c>
      <c r="S83" s="121">
        <f t="shared" si="21"/>
        <v>0</v>
      </c>
      <c r="T83" s="98">
        <f ca="1" t="shared" si="22"/>
        <v>0</v>
      </c>
      <c r="U83" s="13" t="str">
        <f ca="1" t="shared" si="32"/>
        <v>SEM VALOR</v>
      </c>
      <c r="V83" s="4" t="str">
        <f ca="1">IF(OR($A83=0,$A83="S",$A83&gt;CFF!$A$9),"",MAX(V$12:OFFSET(V83,-1,0))+1)</f>
        <v/>
      </c>
      <c r="W83" s="9" t="str">
        <f t="shared" si="33"/>
        <v>SINAPI-I-11186</v>
      </c>
      <c r="X83" s="4">
        <f ca="1" t="shared" si="23"/>
        <v>9506</v>
      </c>
      <c r="Y83" s="121">
        <v>379.47</v>
      </c>
      <c r="Z83" s="132">
        <f ca="1">ROUND(IF(ISNUMBER(R83),R83,IF(LEFT(R83,3)="BDI",HLOOKUP(R83,DADOS!$T$37:$X$38,2,FALSE),0)),15-11*$X$5)</f>
        <v>0.2034</v>
      </c>
      <c r="AA83" s="4"/>
    </row>
    <row r="84" spans="1:27" ht="12.75" customHeight="1">
      <c r="A84" t="str">
        <f t="shared" si="24"/>
        <v>S</v>
      </c>
      <c r="B84">
        <f t="shared" si="25"/>
        <v>0</v>
      </c>
      <c r="C84">
        <f ca="1" t="shared" si="26"/>
        <v>9</v>
      </c>
      <c r="D84">
        <f ca="1" t="shared" si="27"/>
        <v>0</v>
      </c>
      <c r="E84">
        <f ca="1" t="shared" si="28"/>
        <v>0</v>
      </c>
      <c r="F84">
        <f ca="1" t="shared" si="29"/>
        <v>0</v>
      </c>
      <c r="G84">
        <f ca="1" t="shared" si="30"/>
        <v>10</v>
      </c>
      <c r="H84">
        <f ca="1" t="shared" si="34"/>
        <v>0</v>
      </c>
      <c r="I84">
        <f ca="1" t="shared" si="35"/>
        <v>0</v>
      </c>
      <c r="J84" s="394" t="s">
        <v>103</v>
      </c>
      <c r="K84" s="162" t="str">
        <f ca="1" t="shared" si="31"/>
        <v>9.0.10.</v>
      </c>
      <c r="L84" s="395" t="s">
        <v>234</v>
      </c>
      <c r="M84" s="395" t="s">
        <v>289</v>
      </c>
      <c r="N84" s="398" t="s">
        <v>413</v>
      </c>
      <c r="O84" s="399" t="s">
        <v>450</v>
      </c>
      <c r="P84" s="225">
        <f ca="1">OFFSET(PLQ!$E$12,ROW($P84)-ROW(P$12),0)</f>
        <v>2</v>
      </c>
      <c r="Q84" s="229"/>
      <c r="R84" s="232" t="s">
        <v>7</v>
      </c>
      <c r="S84" s="121">
        <f t="shared" si="21"/>
        <v>0</v>
      </c>
      <c r="T84" s="98">
        <f ca="1" t="shared" si="22"/>
        <v>0</v>
      </c>
      <c r="U84" s="13" t="str">
        <f ca="1" t="shared" si="32"/>
        <v>SEM VALOR</v>
      </c>
      <c r="V84" s="4" t="str">
        <f ca="1">IF(OR($A84=0,$A84="S",$A84&gt;CFF!$A$9),"",MAX(V$12:OFFSET(V84,-1,0))+1)</f>
        <v/>
      </c>
      <c r="W84" s="9" t="str">
        <f t="shared" si="33"/>
        <v>SINAPI-95546</v>
      </c>
      <c r="X84" s="4">
        <f ca="1" t="shared" si="23"/>
        <v>5155</v>
      </c>
      <c r="Y84" s="121">
        <v>321.31</v>
      </c>
      <c r="Z84" s="132">
        <f ca="1">ROUND(IF(ISNUMBER(R84),R84,IF(LEFT(R84,3)="BDI",HLOOKUP(R84,DADOS!$T$37:$X$38,2,FALSE),0)),15-11*$X$5)</f>
        <v>0.2034</v>
      </c>
      <c r="AA84" s="4"/>
    </row>
    <row r="85" spans="1:27" ht="12.75" customHeight="1">
      <c r="A85">
        <f>CHOOSE(1+LOG(1+2*(J85="Meta")+4*(J85="Nível 2")+8*(J85="Nível 3")+16*(J85="Nível 4")+32*(J85="Serviço"),2),0,1,2,3,4,"S")</f>
        <v>1</v>
      </c>
      <c r="B85">
        <f ca="1">IF(OR(A85="S",A85=0),0,IF(ISERROR(I85),H85,SMALL(H85:I85,1)))</f>
        <v>11</v>
      </c>
      <c r="C85">
        <f ca="1">IF($A85=1,OFFSET(C85,-1,0)+1,OFFSET(C85,-1,0))</f>
        <v>10</v>
      </c>
      <c r="D85">
        <f ca="1">IF($A85=1,0,IF($A85=2,OFFSET(D85,-1,0)+1,OFFSET(D85,-1,0)))</f>
        <v>0</v>
      </c>
      <c r="E85">
        <f ca="1">IF(AND($A85&lt;=2,$A85&lt;&gt;0),0,IF($A85=3,OFFSET(E85,-1,0)+1,OFFSET(E85,-1,0)))</f>
        <v>0</v>
      </c>
      <c r="F85">
        <f ca="1">IF(AND($A85&lt;=3,$A85&lt;&gt;0),0,IF($A85=4,OFFSET(F85,-1,0)+1,OFFSET(F85,-1,0)))</f>
        <v>0</v>
      </c>
      <c r="G85">
        <f ca="1">IF(AND($A85&lt;=4,$A85&lt;&gt;0),0,IF($A85="S",OFFSET(G85,-1,0)+1,OFFSET(G85,-1,0)))</f>
        <v>0</v>
      </c>
      <c r="H85">
        <f ca="1" t="shared" si="34"/>
        <v>49</v>
      </c>
      <c r="I85">
        <f ca="1" t="shared" si="35"/>
        <v>11</v>
      </c>
      <c r="J85" s="394" t="s">
        <v>99</v>
      </c>
      <c r="K85" s="162" t="str">
        <f ca="1">IF($A85=0,"-",CONCATENATE(C85&amp;".",IF(AND($A$5&gt;=2,$A85&gt;=2),D85&amp;".",""),IF(AND($A$5&gt;=3,$A85&gt;=3),E85&amp;".",""),IF(AND($A$5&gt;=4,$A85&gt;=4),F85&amp;".",""),IF($A85="S",G85&amp;".","")))</f>
        <v>10.</v>
      </c>
      <c r="L85" s="395"/>
      <c r="M85" s="395"/>
      <c r="N85" s="398" t="s">
        <v>342</v>
      </c>
      <c r="O85" s="399" t="s">
        <v>106</v>
      </c>
      <c r="P85" s="225">
        <f ca="1">OFFSET(PLQ!$E$12,ROW($P85)-ROW(P$12),0)</f>
        <v>0</v>
      </c>
      <c r="Q85" s="229"/>
      <c r="R85" s="232" t="s">
        <v>7</v>
      </c>
      <c r="S85" s="121">
        <f aca="true" t="shared" si="36" ref="S85">IF($A85="S",IF($Q$10="Preço Unitário (R$)",PO.CustoUnitario,ROUND(PO.CustoUnitario*(1+$Z85),15-13*$X$6)),0)</f>
        <v>0</v>
      </c>
      <c r="T85" s="98">
        <f aca="true" ca="1" t="shared" si="37" ref="T85">IF($A85="S",VTOTAL1,IF($A85=0,0,ROUND(SomaAgrup,15-13*$X$7)))</f>
        <v>0</v>
      </c>
      <c r="U85" s="13" t="str">
        <f ca="1">IF($J85="","",IF($N85="","DESCRIÇÃO",IF(AND($J85="Serviço",$O85=""),"UNIDADE",IF($T85&lt;=0,"SEM VALOR",IF(AND($Y85&lt;&gt;"",$Q85&gt;$Y85),"ACIMA REF.","")))))</f>
        <v>SEM VALOR</v>
      </c>
      <c r="V85" s="4">
        <f ca="1">IF(OR($A85=0,$A85="S",$A85&gt;CFF!$A$9),"",MAX(V$12:OFFSET(V85,-1,0))+1)</f>
        <v>14</v>
      </c>
      <c r="W85" s="9" t="b">
        <f>IF(AND($J85="Serviço",$M85&lt;&gt;""),IF($L85="",$M85,CONCATENATE($L85,"-",$M85)))</f>
        <v>0</v>
      </c>
      <c r="X85" s="4" t="str">
        <f aca="true" t="shared" si="38" ref="X85">IF(AND(Fonte&lt;&gt;"",Código&lt;&gt;""),MATCH(Fonte&amp;" "&amp;IF(Fonte="sinapi",SUBSTITUTE(SUBSTITUTE(Código,"/00","/"),"/0","/"),Código),INDIRECT("'[Referência "&amp;_XLNM.DATABASE&amp;".xls]Banco'!$a:$a"),0),"X")</f>
        <v>X</v>
      </c>
      <c r="Y85" s="121">
        <v>0</v>
      </c>
      <c r="Z85" s="132">
        <f ca="1">ROUND(IF(ISNUMBER(R85),R85,IF(LEFT(R85,3)="BDI",HLOOKUP(R85,DADOS!$T$37:$X$38,2,FALSE),0)),15-11*$X$5)</f>
        <v>0.2034</v>
      </c>
      <c r="AA85" s="4"/>
    </row>
    <row r="86" spans="1:27" ht="12.75" customHeight="1">
      <c r="A86">
        <f t="shared" si="0"/>
        <v>2</v>
      </c>
      <c r="B86">
        <f ca="1" t="shared" si="1"/>
        <v>5</v>
      </c>
      <c r="C86">
        <f ca="1" t="shared" si="2"/>
        <v>10</v>
      </c>
      <c r="D86">
        <f ca="1" t="shared" si="3"/>
        <v>1</v>
      </c>
      <c r="E86">
        <f ca="1" t="shared" si="4"/>
        <v>0</v>
      </c>
      <c r="F86">
        <f ca="1" t="shared" si="5"/>
        <v>0</v>
      </c>
      <c r="G86">
        <f ca="1" t="shared" si="6"/>
        <v>0</v>
      </c>
      <c r="H86">
        <f ca="1" t="shared" si="34"/>
        <v>10</v>
      </c>
      <c r="I86">
        <f ca="1" t="shared" si="35"/>
        <v>5</v>
      </c>
      <c r="J86" s="394" t="s">
        <v>100</v>
      </c>
      <c r="K86" s="162" t="str">
        <f ca="1" t="shared" si="9"/>
        <v>10.1.</v>
      </c>
      <c r="L86" s="395"/>
      <c r="M86" s="395"/>
      <c r="N86" s="398" t="s">
        <v>343</v>
      </c>
      <c r="O86" s="399" t="s">
        <v>106</v>
      </c>
      <c r="P86" s="225">
        <f ca="1">OFFSET(PLQ!$E$12,ROW($P86)-ROW(P$12),0)</f>
        <v>0</v>
      </c>
      <c r="Q86" s="229"/>
      <c r="R86" s="232" t="s">
        <v>7</v>
      </c>
      <c r="S86" s="121">
        <f t="shared" si="10"/>
        <v>0</v>
      </c>
      <c r="T86" s="98">
        <f ca="1" t="shared" si="11"/>
        <v>0</v>
      </c>
      <c r="U86" s="13" t="str">
        <f ca="1" t="shared" si="12"/>
        <v>SEM VALOR</v>
      </c>
      <c r="V86" s="4">
        <f ca="1">IF(OR($A86=0,$A86="S",$A86&gt;CFF!$A$9),"",MAX(V$12:OFFSET(V86,-1,0))+1)</f>
        <v>15</v>
      </c>
      <c r="W86" s="9" t="b">
        <f t="shared" si="13"/>
        <v>0</v>
      </c>
      <c r="X86" s="4" t="str">
        <f ca="1" t="shared" si="14"/>
        <v>X</v>
      </c>
      <c r="Y86" s="121">
        <v>0</v>
      </c>
      <c r="Z86" s="132">
        <f ca="1">ROUND(IF(ISNUMBER(R86),R86,IF(LEFT(R86,3)="BDI",HLOOKUP(R86,DADOS!$T$37:$X$38,2,FALSE),0)),15-11*$X$5)</f>
        <v>0.2034</v>
      </c>
      <c r="AA86" s="4"/>
    </row>
    <row r="87" spans="1:27" ht="12.75" customHeight="1">
      <c r="A87" t="str">
        <f t="shared" si="0"/>
        <v>S</v>
      </c>
      <c r="B87">
        <f t="shared" si="1"/>
        <v>0</v>
      </c>
      <c r="C87">
        <f ca="1" t="shared" si="2"/>
        <v>10</v>
      </c>
      <c r="D87">
        <f ca="1" t="shared" si="3"/>
        <v>1</v>
      </c>
      <c r="E87">
        <f ca="1" t="shared" si="4"/>
        <v>0</v>
      </c>
      <c r="F87">
        <f ca="1" t="shared" si="5"/>
        <v>0</v>
      </c>
      <c r="G87">
        <f ca="1" t="shared" si="6"/>
        <v>1</v>
      </c>
      <c r="H87">
        <f ca="1" t="shared" si="34"/>
        <v>0</v>
      </c>
      <c r="I87">
        <f ca="1" t="shared" si="35"/>
        <v>0</v>
      </c>
      <c r="J87" s="394" t="s">
        <v>103</v>
      </c>
      <c r="K87" s="162" t="str">
        <f ca="1" t="shared" si="9"/>
        <v>10.1.1.</v>
      </c>
      <c r="L87" s="395" t="s">
        <v>234</v>
      </c>
      <c r="M87" s="395" t="s">
        <v>326</v>
      </c>
      <c r="N87" s="398" t="s">
        <v>414</v>
      </c>
      <c r="O87" s="399" t="s">
        <v>249</v>
      </c>
      <c r="P87" s="225">
        <f ca="1">OFFSET(PLQ!$E$12,ROW($P87)-ROW(P$12),0)</f>
        <v>44.18</v>
      </c>
      <c r="Q87" s="229"/>
      <c r="R87" s="232" t="s">
        <v>7</v>
      </c>
      <c r="S87" s="121">
        <f t="shared" si="10"/>
        <v>0</v>
      </c>
      <c r="T87" s="98">
        <f ca="1" t="shared" si="11"/>
        <v>0</v>
      </c>
      <c r="U87" s="13" t="str">
        <f ca="1" t="shared" si="12"/>
        <v>SEM VALOR</v>
      </c>
      <c r="V87" s="4" t="str">
        <f ca="1">IF(OR($A87=0,$A87="S",$A87&gt;CFF!$A$9),"",MAX(V$12:OFFSET(V87,-1,0))+1)</f>
        <v/>
      </c>
      <c r="W87" s="9" t="str">
        <f t="shared" si="13"/>
        <v>SINAPI-96624</v>
      </c>
      <c r="X87" s="4">
        <f ca="1" t="shared" si="14"/>
        <v>2205</v>
      </c>
      <c r="Y87" s="121">
        <v>141.11</v>
      </c>
      <c r="Z87" s="132">
        <f ca="1">ROUND(IF(ISNUMBER(R87),R87,IF(LEFT(R87,3)="BDI",HLOOKUP(R87,DADOS!$T$37:$X$38,2,FALSE),0)),15-11*$X$5)</f>
        <v>0.2034</v>
      </c>
      <c r="AA87" s="4"/>
    </row>
    <row r="88" spans="1:27" ht="12.75" customHeight="1">
      <c r="A88" t="str">
        <f t="shared" si="0"/>
        <v>S</v>
      </c>
      <c r="B88">
        <f t="shared" si="1"/>
        <v>0</v>
      </c>
      <c r="C88">
        <f ca="1" t="shared" si="2"/>
        <v>10</v>
      </c>
      <c r="D88">
        <f ca="1" t="shared" si="3"/>
        <v>1</v>
      </c>
      <c r="E88">
        <f ca="1" t="shared" si="4"/>
        <v>0</v>
      </c>
      <c r="F88">
        <f ca="1" t="shared" si="5"/>
        <v>0</v>
      </c>
      <c r="G88">
        <f ca="1" t="shared" si="6"/>
        <v>2</v>
      </c>
      <c r="H88">
        <f ca="1" t="shared" si="34"/>
        <v>0</v>
      </c>
      <c r="I88">
        <f ca="1" t="shared" si="35"/>
        <v>0</v>
      </c>
      <c r="J88" s="394" t="s">
        <v>103</v>
      </c>
      <c r="K88" s="162" t="str">
        <f ca="1" t="shared" si="9"/>
        <v>10.1.2.</v>
      </c>
      <c r="L88" s="395" t="s">
        <v>234</v>
      </c>
      <c r="M88" s="395" t="s">
        <v>325</v>
      </c>
      <c r="N88" s="398" t="s">
        <v>415</v>
      </c>
      <c r="O88" s="399" t="s">
        <v>249</v>
      </c>
      <c r="P88" s="225">
        <f ca="1">OFFSET(PLQ!$E$12,ROW($P88)-ROW(P$12),0)</f>
        <v>44.18</v>
      </c>
      <c r="Q88" s="229"/>
      <c r="R88" s="232" t="s">
        <v>7</v>
      </c>
      <c r="S88" s="121">
        <f t="shared" si="10"/>
        <v>0</v>
      </c>
      <c r="T88" s="98">
        <f ca="1" t="shared" si="11"/>
        <v>0</v>
      </c>
      <c r="U88" s="13" t="str">
        <f ca="1" t="shared" si="12"/>
        <v>SEM VALOR</v>
      </c>
      <c r="V88" s="4" t="str">
        <f ca="1">IF(OR($A88=0,$A88="S",$A88&gt;CFF!$A$9),"",MAX(V$12:OFFSET(V88,-1,0))+1)</f>
        <v/>
      </c>
      <c r="W88" s="9" t="str">
        <f t="shared" si="13"/>
        <v>SINAPI-97096</v>
      </c>
      <c r="X88" s="4">
        <f ca="1" t="shared" si="14"/>
        <v>2217</v>
      </c>
      <c r="Y88" s="121">
        <v>724.21</v>
      </c>
      <c r="Z88" s="132">
        <f ca="1">ROUND(IF(ISNUMBER(R88),R88,IF(LEFT(R88,3)="BDI",HLOOKUP(R88,DADOS!$T$37:$X$38,2,FALSE),0)),15-11*$X$5)</f>
        <v>0.2034</v>
      </c>
      <c r="AA88" s="4"/>
    </row>
    <row r="89" spans="1:27" ht="12.75" customHeight="1">
      <c r="A89" t="str">
        <f t="shared" si="0"/>
        <v>S</v>
      </c>
      <c r="B89">
        <f t="shared" si="1"/>
        <v>0</v>
      </c>
      <c r="C89">
        <f ca="1" t="shared" si="2"/>
        <v>10</v>
      </c>
      <c r="D89">
        <f ca="1" t="shared" si="3"/>
        <v>1</v>
      </c>
      <c r="E89">
        <f ca="1" t="shared" si="4"/>
        <v>0</v>
      </c>
      <c r="F89">
        <f ca="1" t="shared" si="5"/>
        <v>0</v>
      </c>
      <c r="G89">
        <f ca="1" t="shared" si="6"/>
        <v>3</v>
      </c>
      <c r="H89">
        <f ca="1" t="shared" si="34"/>
        <v>0</v>
      </c>
      <c r="I89">
        <f ca="1" t="shared" si="35"/>
        <v>0</v>
      </c>
      <c r="J89" s="394" t="s">
        <v>103</v>
      </c>
      <c r="K89" s="162" t="str">
        <f ca="1" t="shared" si="9"/>
        <v>10.1.3.</v>
      </c>
      <c r="L89" s="395" t="s">
        <v>239</v>
      </c>
      <c r="M89" s="395" t="s">
        <v>327</v>
      </c>
      <c r="N89" s="398" t="s">
        <v>416</v>
      </c>
      <c r="O89" s="399" t="s">
        <v>247</v>
      </c>
      <c r="P89" s="225">
        <f ca="1">OFFSET(PLQ!$E$12,ROW($P89)-ROW(P$12),0)</f>
        <v>885.5</v>
      </c>
      <c r="Q89" s="229"/>
      <c r="R89" s="232" t="s">
        <v>7</v>
      </c>
      <c r="S89" s="121">
        <f t="shared" si="10"/>
        <v>0</v>
      </c>
      <c r="T89" s="98">
        <f ca="1" t="shared" si="11"/>
        <v>0</v>
      </c>
      <c r="U89" s="13" t="str">
        <f ca="1" t="shared" si="12"/>
        <v>SEM VALOR</v>
      </c>
      <c r="V89" s="4" t="str">
        <f ca="1">IF(OR($A89=0,$A89="S",$A89&gt;CFF!$A$9),"",MAX(V$12:OFFSET(V89,-1,0))+1)</f>
        <v/>
      </c>
      <c r="W89" s="9" t="str">
        <f t="shared" si="13"/>
        <v>SINAPI-I-10917</v>
      </c>
      <c r="X89" s="4">
        <f ca="1" t="shared" si="14"/>
        <v>11749</v>
      </c>
      <c r="Y89" s="121">
        <v>9.94</v>
      </c>
      <c r="Z89" s="132">
        <f ca="1">ROUND(IF(ISNUMBER(R89),R89,IF(LEFT(R89,3)="BDI",HLOOKUP(R89,DADOS!$T$37:$X$38,2,FALSE),0)),15-11*$X$5)</f>
        <v>0.2034</v>
      </c>
      <c r="AA89" s="4"/>
    </row>
    <row r="90" spans="1:27" ht="12.75" customHeight="1">
      <c r="A90" t="str">
        <f>CHOOSE(1+LOG(1+2*(J90="Meta")+4*(J90="Nível 2")+8*(J90="Nível 3")+16*(J90="Nível 4")+32*(J90="Serviço"),2),0,1,2,3,4,"S")</f>
        <v>S</v>
      </c>
      <c r="B90">
        <f>IF(OR(A90="S",A90=0),0,IF(ISERROR(I90),H90,SMALL(H90:I90,1)))</f>
        <v>0</v>
      </c>
      <c r="C90">
        <f ca="1">IF($A90=1,OFFSET(C90,-1,0)+1,OFFSET(C90,-1,0))</f>
        <v>10</v>
      </c>
      <c r="D90">
        <f ca="1">IF($A90=1,0,IF($A90=2,OFFSET(D90,-1,0)+1,OFFSET(D90,-1,0)))</f>
        <v>1</v>
      </c>
      <c r="E90">
        <f ca="1">IF(AND($A90&lt;=2,$A90&lt;&gt;0),0,IF($A90=3,OFFSET(E90,-1,0)+1,OFFSET(E90,-1,0)))</f>
        <v>0</v>
      </c>
      <c r="F90">
        <f ca="1">IF(AND($A90&lt;=3,$A90&lt;&gt;0),0,IF($A90=4,OFFSET(F90,-1,0)+1,OFFSET(F90,-1,0)))</f>
        <v>0</v>
      </c>
      <c r="G90">
        <f ca="1">IF(AND($A90&lt;=4,$A90&lt;&gt;0),0,IF($A90="S",OFFSET(G90,-1,0)+1,OFFSET(G90,-1,0)))</f>
        <v>4</v>
      </c>
      <c r="H90">
        <f ca="1" t="shared" si="34"/>
        <v>0</v>
      </c>
      <c r="I90">
        <f ca="1" t="shared" si="35"/>
        <v>0</v>
      </c>
      <c r="J90" s="394" t="s">
        <v>103</v>
      </c>
      <c r="K90" s="162" t="str">
        <f ca="1">IF($A90=0,"-",CONCATENATE(C90&amp;".",IF(AND($A$5&gt;=2,$A90&gt;=2),D90&amp;".",""),IF(AND($A$5&gt;=3,$A90&gt;=3),E90&amp;".",""),IF(AND($A$5&gt;=4,$A90&gt;=4),F90&amp;".",""),IF($A90="S",G90&amp;".","")))</f>
        <v>10.1.4.</v>
      </c>
      <c r="L90" s="395" t="s">
        <v>234</v>
      </c>
      <c r="M90" s="395" t="s">
        <v>329</v>
      </c>
      <c r="N90" s="398" t="s">
        <v>417</v>
      </c>
      <c r="O90" s="399" t="s">
        <v>248</v>
      </c>
      <c r="P90" s="225">
        <f ca="1">OFFSET(PLQ!$E$12,ROW($P90)-ROW(P$12),0)</f>
        <v>885.5</v>
      </c>
      <c r="Q90" s="229"/>
      <c r="R90" s="232" t="s">
        <v>7</v>
      </c>
      <c r="S90" s="121">
        <f>IF($A90="S",IF($Q$10="Preço Unitário (R$)",PO.CustoUnitario,ROUND(PO.CustoUnitario*(1+$Z90),15-13*$X$6)),0)</f>
        <v>0</v>
      </c>
      <c r="T90" s="98">
        <f ca="1">IF($A90="S",VTOTAL1,IF($A90=0,0,ROUND(SomaAgrup,15-13*$X$7)))</f>
        <v>0</v>
      </c>
      <c r="U90" s="13" t="str">
        <f ca="1">IF($J90="","",IF($N90="","DESCRIÇÃO",IF(AND($J90="Serviço",$O90=""),"UNIDADE",IF($T90&lt;=0,"SEM VALOR",IF(AND($Y90&lt;&gt;"",$Q90&gt;$Y90),"ACIMA REF.","")))))</f>
        <v>SEM VALOR</v>
      </c>
      <c r="V90" s="4" t="str">
        <f ca="1">IF(OR($A90=0,$A90="S",$A90&gt;CFF!$A$9),"",MAX(V$12:OFFSET(V90,-1,0))+1)</f>
        <v/>
      </c>
      <c r="W90" s="9" t="str">
        <f>IF(AND($J90="Serviço",$M90&lt;&gt;""),IF($L90="",$M90,CONCATENATE($L90,"-",$M90)))</f>
        <v>SINAPI-101748</v>
      </c>
      <c r="X90" s="4">
        <f ca="1">IF(AND(Fonte&lt;&gt;"",Código&lt;&gt;""),MATCH(Fonte&amp;" "&amp;IF(Fonte="sinapi",SUBSTITUTE(SUBSTITUTE(Código,"/00","/"),"/0","/"),Código),INDIRECT("'[Referência "&amp;_XLNM.DATABASE&amp;".xls]Banco'!$a:$a"),0),"X")</f>
        <v>6226</v>
      </c>
      <c r="Y90" s="121">
        <v>4.24</v>
      </c>
      <c r="Z90" s="132">
        <f ca="1">ROUND(IF(ISNUMBER(R90),R90,IF(LEFT(R90,3)="BDI",HLOOKUP(R90,DADOS!$T$37:$X$38,2,FALSE),0)),15-11*$X$5)</f>
        <v>0.2034</v>
      </c>
      <c r="AA90" s="4"/>
    </row>
    <row r="91" spans="1:27" ht="12.75" customHeight="1">
      <c r="A91">
        <f t="shared" si="0"/>
        <v>2</v>
      </c>
      <c r="B91">
        <f ca="1" t="shared" si="1"/>
        <v>5</v>
      </c>
      <c r="C91">
        <f ca="1" t="shared" si="2"/>
        <v>10</v>
      </c>
      <c r="D91">
        <f ca="1" t="shared" si="3"/>
        <v>2</v>
      </c>
      <c r="E91">
        <f ca="1" t="shared" si="4"/>
        <v>0</v>
      </c>
      <c r="F91">
        <f ca="1" t="shared" si="5"/>
        <v>0</v>
      </c>
      <c r="G91">
        <f ca="1" t="shared" si="6"/>
        <v>0</v>
      </c>
      <c r="H91">
        <f ca="1" t="shared" si="34"/>
        <v>5</v>
      </c>
      <c r="I91" t="e">
        <f ca="1" t="shared" si="35"/>
        <v>#N/A</v>
      </c>
      <c r="J91" s="394" t="s">
        <v>100</v>
      </c>
      <c r="K91" s="162" t="str">
        <f ca="1" t="shared" si="9"/>
        <v>10.2.</v>
      </c>
      <c r="L91" s="395"/>
      <c r="M91" s="395"/>
      <c r="N91" s="398" t="s">
        <v>344</v>
      </c>
      <c r="O91" s="399" t="s">
        <v>106</v>
      </c>
      <c r="P91" s="225">
        <f ca="1">OFFSET(PLQ!$E$12,ROW($P91)-ROW(P$12),0)</f>
        <v>0</v>
      </c>
      <c r="Q91" s="229"/>
      <c r="R91" s="232" t="s">
        <v>7</v>
      </c>
      <c r="S91" s="121">
        <f t="shared" si="10"/>
        <v>0</v>
      </c>
      <c r="T91" s="98">
        <f ca="1" t="shared" si="11"/>
        <v>0</v>
      </c>
      <c r="U91" s="13" t="str">
        <f ca="1" t="shared" si="12"/>
        <v>SEM VALOR</v>
      </c>
      <c r="V91" s="4">
        <f ca="1">IF(OR($A91=0,$A91="S",$A91&gt;CFF!$A$9),"",MAX(V$12:OFFSET(V91,-1,0))+1)</f>
        <v>16</v>
      </c>
      <c r="W91" s="9" t="b">
        <f t="shared" si="13"/>
        <v>0</v>
      </c>
      <c r="X91" s="4" t="str">
        <f ca="1" t="shared" si="14"/>
        <v>X</v>
      </c>
      <c r="Y91" s="121">
        <v>0</v>
      </c>
      <c r="Z91" s="132">
        <f ca="1">ROUND(IF(ISNUMBER(R91),R91,IF(LEFT(R91,3)="BDI",HLOOKUP(R91,DADOS!$T$37:$X$38,2,FALSE),0)),15-11*$X$5)</f>
        <v>0.2034</v>
      </c>
      <c r="AA91" s="4"/>
    </row>
    <row r="92" spans="1:27" ht="12.75" customHeight="1">
      <c r="A92" t="str">
        <f t="shared" si="0"/>
        <v>S</v>
      </c>
      <c r="B92">
        <f t="shared" si="1"/>
        <v>0</v>
      </c>
      <c r="C92">
        <f ca="1" t="shared" si="2"/>
        <v>10</v>
      </c>
      <c r="D92">
        <f ca="1" t="shared" si="3"/>
        <v>2</v>
      </c>
      <c r="E92">
        <f ca="1" t="shared" si="4"/>
        <v>0</v>
      </c>
      <c r="F92">
        <f ca="1" t="shared" si="5"/>
        <v>0</v>
      </c>
      <c r="G92">
        <f ca="1" t="shared" si="6"/>
        <v>1</v>
      </c>
      <c r="H92">
        <f ca="1" t="shared" si="34"/>
        <v>0</v>
      </c>
      <c r="I92">
        <f ca="1" t="shared" si="35"/>
        <v>0</v>
      </c>
      <c r="J92" s="394" t="s">
        <v>103</v>
      </c>
      <c r="K92" s="162" t="str">
        <f ca="1" t="shared" si="9"/>
        <v>10.2.1.</v>
      </c>
      <c r="L92" s="395" t="s">
        <v>234</v>
      </c>
      <c r="M92" s="395" t="s">
        <v>326</v>
      </c>
      <c r="N92" s="398" t="s">
        <v>414</v>
      </c>
      <c r="O92" s="399" t="s">
        <v>249</v>
      </c>
      <c r="P92" s="225">
        <f ca="1">OFFSET(PLQ!$E$12,ROW($P92)-ROW(P$12),0)</f>
        <v>8.62</v>
      </c>
      <c r="Q92" s="229"/>
      <c r="R92" s="232" t="s">
        <v>7</v>
      </c>
      <c r="S92" s="121">
        <f t="shared" si="10"/>
        <v>0</v>
      </c>
      <c r="T92" s="98">
        <f ca="1" t="shared" si="11"/>
        <v>0</v>
      </c>
      <c r="U92" s="13" t="str">
        <f ca="1" t="shared" si="12"/>
        <v>SEM VALOR</v>
      </c>
      <c r="V92" s="4" t="str">
        <f ca="1">IF(OR($A92=0,$A92="S",$A92&gt;CFF!$A$9),"",MAX(V$12:OFFSET(V92,-1,0))+1)</f>
        <v/>
      </c>
      <c r="W92" s="9" t="str">
        <f t="shared" si="13"/>
        <v>SINAPI-96624</v>
      </c>
      <c r="X92" s="4">
        <f ca="1" t="shared" si="14"/>
        <v>2205</v>
      </c>
      <c r="Y92" s="121">
        <v>141.11</v>
      </c>
      <c r="Z92" s="132">
        <f ca="1">ROUND(IF(ISNUMBER(R92),R92,IF(LEFT(R92,3)="BDI",HLOOKUP(R92,DADOS!$T$37:$X$38,2,FALSE),0)),15-11*$X$5)</f>
        <v>0.2034</v>
      </c>
      <c r="AA92" s="4"/>
    </row>
    <row r="93" spans="1:27" ht="12.75" customHeight="1">
      <c r="A93" t="str">
        <f t="shared" si="0"/>
        <v>S</v>
      </c>
      <c r="B93">
        <f t="shared" si="1"/>
        <v>0</v>
      </c>
      <c r="C93">
        <f ca="1" t="shared" si="2"/>
        <v>10</v>
      </c>
      <c r="D93">
        <f ca="1" t="shared" si="3"/>
        <v>2</v>
      </c>
      <c r="E93">
        <f ca="1" t="shared" si="4"/>
        <v>0</v>
      </c>
      <c r="F93">
        <f ca="1" t="shared" si="5"/>
        <v>0</v>
      </c>
      <c r="G93">
        <f ca="1" t="shared" si="6"/>
        <v>2</v>
      </c>
      <c r="H93">
        <f ca="1" t="shared" si="34"/>
        <v>0</v>
      </c>
      <c r="I93">
        <f ca="1" t="shared" si="35"/>
        <v>0</v>
      </c>
      <c r="J93" s="394" t="s">
        <v>103</v>
      </c>
      <c r="K93" s="162" t="str">
        <f ca="1" t="shared" si="9"/>
        <v>10.2.2.</v>
      </c>
      <c r="L93" s="395" t="s">
        <v>234</v>
      </c>
      <c r="M93" s="395" t="s">
        <v>325</v>
      </c>
      <c r="N93" s="398" t="s">
        <v>415</v>
      </c>
      <c r="O93" s="399" t="s">
        <v>249</v>
      </c>
      <c r="P93" s="225">
        <f ca="1">OFFSET(PLQ!$E$12,ROW($P93)-ROW(P$12),0)</f>
        <v>8.62</v>
      </c>
      <c r="Q93" s="229"/>
      <c r="R93" s="232" t="s">
        <v>7</v>
      </c>
      <c r="S93" s="121">
        <f t="shared" si="10"/>
        <v>0</v>
      </c>
      <c r="T93" s="98">
        <f ca="1" t="shared" si="11"/>
        <v>0</v>
      </c>
      <c r="U93" s="13" t="str">
        <f ca="1" t="shared" si="12"/>
        <v>SEM VALOR</v>
      </c>
      <c r="V93" s="4" t="str">
        <f ca="1">IF(OR($A93=0,$A93="S",$A93&gt;CFF!$A$9),"",MAX(V$12:OFFSET(V93,-1,0))+1)</f>
        <v/>
      </c>
      <c r="W93" s="9" t="str">
        <f t="shared" si="13"/>
        <v>SINAPI-97096</v>
      </c>
      <c r="X93" s="4">
        <f ca="1" t="shared" si="14"/>
        <v>2217</v>
      </c>
      <c r="Y93" s="121">
        <v>724.21</v>
      </c>
      <c r="Z93" s="132">
        <f ca="1">ROUND(IF(ISNUMBER(R93),R93,IF(LEFT(R93,3)="BDI",HLOOKUP(R93,DADOS!$T$37:$X$38,2,FALSE),0)),15-11*$X$5)</f>
        <v>0.2034</v>
      </c>
      <c r="AA93" s="4"/>
    </row>
    <row r="94" spans="1:27" ht="12.75" customHeight="1">
      <c r="A94" t="str">
        <f t="shared" si="0"/>
        <v>S</v>
      </c>
      <c r="B94">
        <f t="shared" si="1"/>
        <v>0</v>
      </c>
      <c r="C94">
        <f ca="1" t="shared" si="2"/>
        <v>10</v>
      </c>
      <c r="D94">
        <f ca="1" t="shared" si="3"/>
        <v>2</v>
      </c>
      <c r="E94">
        <f ca="1" t="shared" si="4"/>
        <v>0</v>
      </c>
      <c r="F94">
        <f ca="1" t="shared" si="5"/>
        <v>0</v>
      </c>
      <c r="G94">
        <f ca="1" t="shared" si="6"/>
        <v>3</v>
      </c>
      <c r="H94">
        <f ca="1" t="shared" si="34"/>
        <v>0</v>
      </c>
      <c r="I94">
        <f ca="1" t="shared" si="35"/>
        <v>0</v>
      </c>
      <c r="J94" s="394" t="s">
        <v>103</v>
      </c>
      <c r="K94" s="162" t="str">
        <f ca="1" t="shared" si="9"/>
        <v>10.2.3.</v>
      </c>
      <c r="L94" s="395" t="s">
        <v>239</v>
      </c>
      <c r="M94" s="395" t="s">
        <v>327</v>
      </c>
      <c r="N94" s="398" t="s">
        <v>416</v>
      </c>
      <c r="O94" s="399" t="s">
        <v>247</v>
      </c>
      <c r="P94" s="225">
        <f ca="1">OFFSET(PLQ!$E$12,ROW($P94)-ROW(P$12),0)</f>
        <v>287.29</v>
      </c>
      <c r="Q94" s="229"/>
      <c r="R94" s="232" t="s">
        <v>7</v>
      </c>
      <c r="S94" s="121">
        <f t="shared" si="10"/>
        <v>0</v>
      </c>
      <c r="T94" s="98">
        <f ca="1" t="shared" si="11"/>
        <v>0</v>
      </c>
      <c r="U94" s="13" t="str">
        <f ca="1" t="shared" si="12"/>
        <v>SEM VALOR</v>
      </c>
      <c r="V94" s="4" t="str">
        <f ca="1">IF(OR($A94=0,$A94="S",$A94&gt;CFF!$A$9),"",MAX(V$12:OFFSET(V94,-1,0))+1)</f>
        <v/>
      </c>
      <c r="W94" s="9" t="str">
        <f t="shared" si="13"/>
        <v>SINAPI-I-10917</v>
      </c>
      <c r="X94" s="4">
        <f ca="1" t="shared" si="14"/>
        <v>11749</v>
      </c>
      <c r="Y94" s="121">
        <v>9.94</v>
      </c>
      <c r="Z94" s="132">
        <f ca="1">ROUND(IF(ISNUMBER(R94),R94,IF(LEFT(R94,3)="BDI",HLOOKUP(R94,DADOS!$T$37:$X$38,2,FALSE),0)),15-11*$X$5)</f>
        <v>0.2034</v>
      </c>
      <c r="AA94" s="4"/>
    </row>
    <row r="95" spans="1:27" ht="12.75" customHeight="1">
      <c r="A95" t="str">
        <f t="shared" si="0"/>
        <v>S</v>
      </c>
      <c r="B95">
        <f t="shared" si="1"/>
        <v>0</v>
      </c>
      <c r="C95">
        <f ca="1" t="shared" si="2"/>
        <v>10</v>
      </c>
      <c r="D95">
        <f ca="1" t="shared" si="3"/>
        <v>2</v>
      </c>
      <c r="E95">
        <f ca="1" t="shared" si="4"/>
        <v>0</v>
      </c>
      <c r="F95">
        <f ca="1" t="shared" si="5"/>
        <v>0</v>
      </c>
      <c r="G95">
        <f ca="1" t="shared" si="6"/>
        <v>4</v>
      </c>
      <c r="H95">
        <f ca="1" t="shared" si="34"/>
        <v>0</v>
      </c>
      <c r="I95">
        <f ca="1" t="shared" si="35"/>
        <v>0</v>
      </c>
      <c r="J95" s="394" t="s">
        <v>103</v>
      </c>
      <c r="K95" s="162" t="str">
        <f ca="1" t="shared" si="9"/>
        <v>10.2.4.</v>
      </c>
      <c r="L95" s="395" t="s">
        <v>234</v>
      </c>
      <c r="M95" s="395" t="s">
        <v>328</v>
      </c>
      <c r="N95" s="398" t="s">
        <v>418</v>
      </c>
      <c r="O95" s="399" t="s">
        <v>248</v>
      </c>
      <c r="P95" s="225">
        <f ca="1">OFFSET(PLQ!$E$12,ROW($P95)-ROW(P$12),0)</f>
        <v>246.74</v>
      </c>
      <c r="Q95" s="229"/>
      <c r="R95" s="232" t="s">
        <v>7</v>
      </c>
      <c r="S95" s="121">
        <f t="shared" si="10"/>
        <v>0</v>
      </c>
      <c r="T95" s="98">
        <f ca="1" t="shared" si="11"/>
        <v>0</v>
      </c>
      <c r="U95" s="13" t="str">
        <f ca="1" t="shared" si="12"/>
        <v>SEM VALOR</v>
      </c>
      <c r="V95" s="4" t="str">
        <f ca="1">IF(OR($A95=0,$A95="S",$A95&gt;CFF!$A$9),"",MAX(V$12:OFFSET(V95,-1,0))+1)</f>
        <v/>
      </c>
      <c r="W95" s="9" t="str">
        <f t="shared" si="13"/>
        <v>SINAPI-87251</v>
      </c>
      <c r="X95" s="4">
        <f ca="1" t="shared" si="14"/>
        <v>6169</v>
      </c>
      <c r="Y95" s="121">
        <v>58.91</v>
      </c>
      <c r="Z95" s="132">
        <f ca="1">ROUND(IF(ISNUMBER(R95),R95,IF(LEFT(R95,3)="BDI",HLOOKUP(R95,DADOS!$T$37:$X$38,2,FALSE),0)),15-11*$X$5)</f>
        <v>0.2034</v>
      </c>
      <c r="AA95" s="4"/>
    </row>
    <row r="96" spans="1:27" ht="12.75" customHeight="1">
      <c r="A96">
        <f t="shared" si="0"/>
        <v>1</v>
      </c>
      <c r="B96">
        <f ca="1" t="shared" si="1"/>
        <v>3</v>
      </c>
      <c r="C96">
        <f ca="1" t="shared" si="2"/>
        <v>11</v>
      </c>
      <c r="D96">
        <f ca="1" t="shared" si="3"/>
        <v>0</v>
      </c>
      <c r="E96">
        <f ca="1" t="shared" si="4"/>
        <v>0</v>
      </c>
      <c r="F96">
        <f ca="1" t="shared" si="5"/>
        <v>0</v>
      </c>
      <c r="G96">
        <f ca="1" t="shared" si="6"/>
        <v>0</v>
      </c>
      <c r="H96">
        <f ca="1" t="shared" si="34"/>
        <v>38</v>
      </c>
      <c r="I96">
        <f ca="1" t="shared" si="35"/>
        <v>3</v>
      </c>
      <c r="J96" s="394" t="s">
        <v>99</v>
      </c>
      <c r="K96" s="162" t="str">
        <f ca="1" t="shared" si="9"/>
        <v>11.</v>
      </c>
      <c r="L96" s="395"/>
      <c r="M96" s="395"/>
      <c r="N96" s="398" t="s">
        <v>240</v>
      </c>
      <c r="O96" s="399" t="s">
        <v>106</v>
      </c>
      <c r="P96" s="225">
        <f ca="1">OFFSET(PLQ!$E$12,ROW($P96)-ROW(P$12),0)</f>
        <v>0</v>
      </c>
      <c r="Q96" s="229"/>
      <c r="R96" s="232" t="s">
        <v>7</v>
      </c>
      <c r="S96" s="121">
        <f t="shared" si="10"/>
        <v>0</v>
      </c>
      <c r="T96" s="98">
        <f ca="1" t="shared" si="11"/>
        <v>0</v>
      </c>
      <c r="U96" s="13" t="str">
        <f ca="1" t="shared" si="12"/>
        <v>SEM VALOR</v>
      </c>
      <c r="V96" s="4">
        <f ca="1">IF(OR($A96=0,$A96="S",$A96&gt;CFF!$A$9),"",MAX(V$12:OFFSET(V96,-1,0))+1)</f>
        <v>17</v>
      </c>
      <c r="W96" s="9" t="b">
        <f t="shared" si="13"/>
        <v>0</v>
      </c>
      <c r="X96" s="4" t="str">
        <f ca="1" t="shared" si="14"/>
        <v>X</v>
      </c>
      <c r="Y96" s="121">
        <v>0</v>
      </c>
      <c r="Z96" s="132">
        <f ca="1">ROUND(IF(ISNUMBER(R96),R96,IF(LEFT(R96,3)="BDI",HLOOKUP(R96,DADOS!$T$37:$X$38,2,FALSE),0)),15-11*$X$5)</f>
        <v>0.2034</v>
      </c>
      <c r="AA96" s="4"/>
    </row>
    <row r="97" spans="1:27" ht="12.75" customHeight="1">
      <c r="A97" t="str">
        <f t="shared" si="0"/>
        <v>S</v>
      </c>
      <c r="B97">
        <f t="shared" si="1"/>
        <v>0</v>
      </c>
      <c r="C97">
        <f ca="1" t="shared" si="2"/>
        <v>11</v>
      </c>
      <c r="D97">
        <f ca="1" t="shared" si="3"/>
        <v>0</v>
      </c>
      <c r="E97">
        <f ca="1" t="shared" si="4"/>
        <v>0</v>
      </c>
      <c r="F97">
        <f ca="1" t="shared" si="5"/>
        <v>0</v>
      </c>
      <c r="G97">
        <f ca="1" t="shared" si="6"/>
        <v>1</v>
      </c>
      <c r="H97">
        <f ca="1" t="shared" si="34"/>
        <v>0</v>
      </c>
      <c r="I97">
        <f ca="1" t="shared" si="35"/>
        <v>0</v>
      </c>
      <c r="J97" s="394" t="s">
        <v>103</v>
      </c>
      <c r="K97" s="162" t="str">
        <f ca="1" t="shared" si="9"/>
        <v>11.0.1.</v>
      </c>
      <c r="L97" s="395" t="s">
        <v>234</v>
      </c>
      <c r="M97" s="395" t="s">
        <v>241</v>
      </c>
      <c r="N97" s="398" t="s">
        <v>255</v>
      </c>
      <c r="O97" s="399" t="s">
        <v>248</v>
      </c>
      <c r="P97" s="225">
        <f ca="1">OFFSET(PLQ!$E$12,ROW($P97)-ROW(P$12),0)</f>
        <v>186.74</v>
      </c>
      <c r="Q97" s="229"/>
      <c r="R97" s="232" t="s">
        <v>7</v>
      </c>
      <c r="S97" s="121">
        <f t="shared" si="10"/>
        <v>0</v>
      </c>
      <c r="T97" s="98">
        <f ca="1" t="shared" si="11"/>
        <v>0</v>
      </c>
      <c r="U97" s="13" t="str">
        <f ca="1" t="shared" si="12"/>
        <v>SEM VALOR</v>
      </c>
      <c r="V97" s="4" t="str">
        <f ca="1">IF(OR($A97=0,$A97="S",$A97&gt;CFF!$A$9),"",MAX(V$12:OFFSET(V97,-1,0))+1)</f>
        <v/>
      </c>
      <c r="W97" s="9" t="str">
        <f t="shared" si="13"/>
        <v>SINAPI-96116</v>
      </c>
      <c r="X97" s="4">
        <f ca="1" t="shared" si="14"/>
        <v>6567</v>
      </c>
      <c r="Y97" s="121">
        <v>93.67</v>
      </c>
      <c r="Z97" s="132">
        <f ca="1">ROUND(IF(ISNUMBER(R97),R97,IF(LEFT(R97,3)="BDI",HLOOKUP(R97,DADOS!$T$37:$X$38,2,FALSE),0)),15-11*$X$5)</f>
        <v>0.2034</v>
      </c>
      <c r="AA97" s="4"/>
    </row>
    <row r="98" spans="1:27" ht="12.75" customHeight="1">
      <c r="A98" t="str">
        <f>CHOOSE(1+LOG(1+2*(J98="Meta")+4*(J98="Nível 2")+8*(J98="Nível 3")+16*(J98="Nível 4")+32*(J98="Serviço"),2),0,1,2,3,4,"S")</f>
        <v>S</v>
      </c>
      <c r="B98">
        <f>IF(OR(A98="S",A98=0),0,IF(ISERROR(I98),H98,SMALL(H98:I98,1)))</f>
        <v>0</v>
      </c>
      <c r="C98">
        <f ca="1">IF($A98=1,OFFSET(C98,-1,0)+1,OFFSET(C98,-1,0))</f>
        <v>11</v>
      </c>
      <c r="D98">
        <f ca="1">IF($A98=1,0,IF($A98=2,OFFSET(D98,-1,0)+1,OFFSET(D98,-1,0)))</f>
        <v>0</v>
      </c>
      <c r="E98">
        <f ca="1">IF(AND($A98&lt;=2,$A98&lt;&gt;0),0,IF($A98=3,OFFSET(E98,-1,0)+1,OFFSET(E98,-1,0)))</f>
        <v>0</v>
      </c>
      <c r="F98">
        <f ca="1">IF(AND($A98&lt;=3,$A98&lt;&gt;0),0,IF($A98=4,OFFSET(F98,-1,0)+1,OFFSET(F98,-1,0)))</f>
        <v>0</v>
      </c>
      <c r="G98">
        <f ca="1">IF(AND($A98&lt;=4,$A98&lt;&gt;0),0,IF($A98="S",OFFSET(G98,-1,0)+1,OFFSET(G98,-1,0)))</f>
        <v>2</v>
      </c>
      <c r="H98">
        <f ca="1" t="shared" si="34"/>
        <v>0</v>
      </c>
      <c r="I98">
        <f ca="1" t="shared" si="35"/>
        <v>0</v>
      </c>
      <c r="J98" s="394" t="s">
        <v>103</v>
      </c>
      <c r="K98" s="162" t="str">
        <f ca="1">IF($A98=0,"-",CONCATENATE(C98&amp;".",IF(AND($A$5&gt;=2,$A98&gt;=2),D98&amp;".",""),IF(AND($A$5&gt;=3,$A98&gt;=3),E98&amp;".",""),IF(AND($A$5&gt;=4,$A98&gt;=4),F98&amp;".",""),IF($A98="S",G98&amp;".","")))</f>
        <v>11.0.2.</v>
      </c>
      <c r="L98" s="395" t="s">
        <v>239</v>
      </c>
      <c r="M98" s="395" t="s">
        <v>257</v>
      </c>
      <c r="N98" s="398" t="s">
        <v>419</v>
      </c>
      <c r="O98" s="399" t="s">
        <v>449</v>
      </c>
      <c r="P98" s="225">
        <f ca="1">OFFSET(PLQ!$E$12,ROW($P98)-ROW(P$12),0)</f>
        <v>145.8</v>
      </c>
      <c r="Q98" s="229"/>
      <c r="R98" s="232" t="s">
        <v>7</v>
      </c>
      <c r="S98" s="121">
        <f>IF($A98="S",IF($Q$10="Preço Unitário (R$)",PO.CustoUnitario,ROUND(PO.CustoUnitario*(1+$Z98),15-13*$X$6)),0)</f>
        <v>0</v>
      </c>
      <c r="T98" s="98">
        <f ca="1">IF($A98="S",VTOTAL1,IF($A98=0,0,ROUND(SomaAgrup,15-13*$X$7)))</f>
        <v>0</v>
      </c>
      <c r="U98" s="13" t="str">
        <f ca="1">IF($J98="","",IF($N98="","DESCRIÇÃO",IF(AND($J98="Serviço",$O98=""),"UNIDADE",IF($T98&lt;=0,"SEM VALOR",IF(AND($Y98&lt;&gt;"",$Q98&gt;$Y98),"ACIMA REF.","")))))</f>
        <v>SEM VALOR</v>
      </c>
      <c r="V98" s="4" t="str">
        <f ca="1">IF(OR($A98=0,$A98="S",$A98&gt;CFF!$A$9),"",MAX(V$12:OFFSET(V98,-1,0))+1)</f>
        <v/>
      </c>
      <c r="W98" s="9" t="str">
        <f>IF(AND($J98="Serviço",$M98&lt;&gt;""),IF($L98="",$M98,CONCATENATE($L98,"-",$M98)))</f>
        <v>SINAPI-I-36250</v>
      </c>
      <c r="X98" s="4">
        <f ca="1">IF(AND(Fonte&lt;&gt;"",Código&lt;&gt;""),MATCH(Fonte&amp;" "&amp;IF(Fonte="sinapi",SUBSTITUTE(SUBSTITUTE(Código,"/00","/"),"/0","/"),Código),INDIRECT("'[Referência "&amp;_XLNM.DATABASE&amp;".xls]Banco'!$a:$a"),0),"X")</f>
        <v>11344</v>
      </c>
      <c r="Y98" s="121">
        <v>6.69</v>
      </c>
      <c r="Z98" s="132">
        <f ca="1">ROUND(IF(ISNUMBER(R98),R98,IF(LEFT(R98,3)="BDI",HLOOKUP(R98,DADOS!$T$37:$X$38,2,FALSE),0)),15-11*$X$5)</f>
        <v>0.2034</v>
      </c>
      <c r="AA98" s="4"/>
    </row>
    <row r="99" spans="1:27" ht="12.75" customHeight="1">
      <c r="A99">
        <f t="shared" si="0"/>
        <v>1</v>
      </c>
      <c r="B99">
        <f ca="1" t="shared" si="1"/>
        <v>3</v>
      </c>
      <c r="C99">
        <f ca="1" t="shared" si="2"/>
        <v>12</v>
      </c>
      <c r="D99">
        <f ca="1" t="shared" si="3"/>
        <v>0</v>
      </c>
      <c r="E99">
        <f ca="1" t="shared" si="4"/>
        <v>0</v>
      </c>
      <c r="F99">
        <f ca="1" t="shared" si="5"/>
        <v>0</v>
      </c>
      <c r="G99">
        <f ca="1" t="shared" si="6"/>
        <v>0</v>
      </c>
      <c r="H99">
        <f ca="1" t="shared" si="34"/>
        <v>35</v>
      </c>
      <c r="I99">
        <f ca="1" t="shared" si="35"/>
        <v>3</v>
      </c>
      <c r="J99" s="394" t="s">
        <v>99</v>
      </c>
      <c r="K99" s="162" t="str">
        <f ca="1" t="shared" si="9"/>
        <v>12.</v>
      </c>
      <c r="L99" s="395" t="s">
        <v>239</v>
      </c>
      <c r="M99" s="395"/>
      <c r="N99" s="398" t="s">
        <v>238</v>
      </c>
      <c r="O99" s="399" t="s">
        <v>106</v>
      </c>
      <c r="P99" s="225">
        <f ca="1">OFFSET(PLQ!$E$12,ROW($P99)-ROW(P$12),0)</f>
        <v>0</v>
      </c>
      <c r="Q99" s="229"/>
      <c r="R99" s="232" t="s">
        <v>7</v>
      </c>
      <c r="S99" s="121">
        <f t="shared" si="10"/>
        <v>0</v>
      </c>
      <c r="T99" s="98">
        <f ca="1" t="shared" si="11"/>
        <v>0</v>
      </c>
      <c r="U99" s="13" t="str">
        <f ca="1" t="shared" si="12"/>
        <v>SEM VALOR</v>
      </c>
      <c r="V99" s="4">
        <f ca="1">IF(OR($A99=0,$A99="S",$A99&gt;CFF!$A$9),"",MAX(V$12:OFFSET(V99,-1,0))+1)</f>
        <v>18</v>
      </c>
      <c r="W99" s="9" t="b">
        <f t="shared" si="13"/>
        <v>0</v>
      </c>
      <c r="X99" s="4" t="str">
        <f ca="1" t="shared" si="14"/>
        <v>X</v>
      </c>
      <c r="Y99" s="121">
        <v>0</v>
      </c>
      <c r="Z99" s="132">
        <f ca="1">ROUND(IF(ISNUMBER(R99),R99,IF(LEFT(R99,3)="BDI",HLOOKUP(R99,DADOS!$T$37:$X$38,2,FALSE),0)),15-11*$X$5)</f>
        <v>0.2034</v>
      </c>
      <c r="AA99" s="4"/>
    </row>
    <row r="100" spans="1:27" ht="12.75" customHeight="1">
      <c r="A100" t="str">
        <f t="shared" si="0"/>
        <v>S</v>
      </c>
      <c r="B100">
        <f t="shared" si="1"/>
        <v>0</v>
      </c>
      <c r="C100">
        <f ca="1" t="shared" si="2"/>
        <v>12</v>
      </c>
      <c r="D100">
        <f ca="1" t="shared" si="3"/>
        <v>0</v>
      </c>
      <c r="E100">
        <f ca="1" t="shared" si="4"/>
        <v>0</v>
      </c>
      <c r="F100">
        <f ca="1" t="shared" si="5"/>
        <v>0</v>
      </c>
      <c r="G100">
        <f ca="1" t="shared" si="6"/>
        <v>1</v>
      </c>
      <c r="H100">
        <f ca="1" t="shared" si="34"/>
        <v>0</v>
      </c>
      <c r="I100">
        <f ca="1" t="shared" si="35"/>
        <v>0</v>
      </c>
      <c r="J100" s="394" t="s">
        <v>103</v>
      </c>
      <c r="K100" s="162" t="str">
        <f ca="1" t="shared" si="9"/>
        <v>12.0.1.</v>
      </c>
      <c r="L100" s="395" t="s">
        <v>234</v>
      </c>
      <c r="M100" s="395" t="s">
        <v>245</v>
      </c>
      <c r="N100" s="398" t="s">
        <v>256</v>
      </c>
      <c r="O100" s="399" t="s">
        <v>248</v>
      </c>
      <c r="P100" s="225">
        <f ca="1">OFFSET(PLQ!$E$12,ROW($P100)-ROW(P$12),0)</f>
        <v>50.58</v>
      </c>
      <c r="Q100" s="229"/>
      <c r="R100" s="232" t="s">
        <v>7</v>
      </c>
      <c r="S100" s="121">
        <f t="shared" si="10"/>
        <v>0</v>
      </c>
      <c r="T100" s="98">
        <f ca="1" t="shared" si="11"/>
        <v>0</v>
      </c>
      <c r="U100" s="13" t="str">
        <f ca="1" t="shared" si="12"/>
        <v>SEM VALOR</v>
      </c>
      <c r="V100" s="4" t="str">
        <f ca="1">IF(OR($A100=0,$A100="S",$A100&gt;CFF!$A$9),"",MAX(V$12:OFFSET(V100,-1,0))+1)</f>
        <v/>
      </c>
      <c r="W100" s="9" t="str">
        <f t="shared" si="13"/>
        <v>SINAPI-102253</v>
      </c>
      <c r="X100" s="4">
        <f ca="1" t="shared" si="14"/>
        <v>5865</v>
      </c>
      <c r="Y100" s="121">
        <v>921.92</v>
      </c>
      <c r="Z100" s="132">
        <f ca="1">ROUND(IF(ISNUMBER(R100),R100,IF(LEFT(R100,3)="BDI",HLOOKUP(R100,DADOS!$T$37:$X$38,2,FALSE),0)),15-11*$X$5)</f>
        <v>0.2034</v>
      </c>
      <c r="AA100" s="4"/>
    </row>
    <row r="101" spans="1:27" ht="12.75" customHeight="1">
      <c r="A101" t="str">
        <f>CHOOSE(1+LOG(1+2*(J101="Meta")+4*(J101="Nível 2")+8*(J101="Nível 3")+16*(J101="Nível 4")+32*(J101="Serviço"),2),0,1,2,3,4,"S")</f>
        <v>S</v>
      </c>
      <c r="B101">
        <f>IF(OR(A101="S",A101=0),0,IF(ISERROR(I101),H101,SMALL(H101:I101,1)))</f>
        <v>0</v>
      </c>
      <c r="C101">
        <f ca="1">IF($A101=1,OFFSET(C101,-1,0)+1,OFFSET(C101,-1,0))</f>
        <v>12</v>
      </c>
      <c r="D101">
        <f ca="1">IF($A101=1,0,IF($A101=2,OFFSET(D101,-1,0)+1,OFFSET(D101,-1,0)))</f>
        <v>0</v>
      </c>
      <c r="E101">
        <f ca="1">IF(AND($A101&lt;=2,$A101&lt;&gt;0),0,IF($A101=3,OFFSET(E101,-1,0)+1,OFFSET(E101,-1,0)))</f>
        <v>0</v>
      </c>
      <c r="F101">
        <f ca="1">IF(AND($A101&lt;=3,$A101&lt;&gt;0),0,IF($A101=4,OFFSET(F101,-1,0)+1,OFFSET(F101,-1,0)))</f>
        <v>0</v>
      </c>
      <c r="G101">
        <f ca="1">IF(AND($A101&lt;=4,$A101&lt;&gt;0),0,IF($A101="S",OFFSET(G101,-1,0)+1,OFFSET(G101,-1,0)))</f>
        <v>2</v>
      </c>
      <c r="H101">
        <f ca="1" t="shared" si="34"/>
        <v>0</v>
      </c>
      <c r="I101">
        <f ca="1" t="shared" si="35"/>
        <v>0</v>
      </c>
      <c r="J101" s="394" t="s">
        <v>103</v>
      </c>
      <c r="K101" s="162" t="str">
        <f ca="1">IF($A101=0,"-",CONCATENATE(C101&amp;".",IF(AND($A$5&gt;=2,$A101&gt;=2),D101&amp;".",""),IF(AND($A$5&gt;=3,$A101&gt;=3),E101&amp;".",""),IF(AND($A$5&gt;=4,$A101&gt;=4),F101&amp;".",""),IF($A101="S",G101&amp;".","")))</f>
        <v>12.0.2.</v>
      </c>
      <c r="L101" s="395" t="s">
        <v>234</v>
      </c>
      <c r="M101" s="395" t="s">
        <v>294</v>
      </c>
      <c r="N101" s="398" t="s">
        <v>420</v>
      </c>
      <c r="O101" s="399" t="s">
        <v>248</v>
      </c>
      <c r="P101" s="225">
        <f ca="1">OFFSET(PLQ!$E$12,ROW($P101)-ROW(P$12),0)</f>
        <v>1.2</v>
      </c>
      <c r="Q101" s="229"/>
      <c r="R101" s="232" t="s">
        <v>7</v>
      </c>
      <c r="S101" s="121">
        <f aca="true" t="shared" si="39" ref="S101:S126">IF($A101="S",IF($Q$10="Preço Unitário (R$)",PO.CustoUnitario,ROUND(PO.CustoUnitario*(1+$Z101),15-13*$X$6)),0)</f>
        <v>0</v>
      </c>
      <c r="T101" s="98">
        <f aca="true" ca="1" t="shared" si="40" ref="T101:T126">IF($A101="S",VTOTAL1,IF($A101=0,0,ROUND(SomaAgrup,15-13*$X$7)))</f>
        <v>0</v>
      </c>
      <c r="U101" s="13" t="str">
        <f ca="1">IF($J101="","",IF($N101="","DESCRIÇÃO",IF(AND($J101="Serviço",$O101=""),"UNIDADE",IF($T101&lt;=0,"SEM VALOR",IF(AND($Y101&lt;&gt;"",$Q101&gt;$Y101),"ACIMA REF.","")))))</f>
        <v>SEM VALOR</v>
      </c>
      <c r="V101" s="4" t="str">
        <f ca="1">IF(OR($A101=0,$A101="S",$A101&gt;CFF!$A$9),"",MAX(V$12:OFFSET(V101,-1,0))+1)</f>
        <v/>
      </c>
      <c r="W101" s="9" t="str">
        <f>IF(AND($J101="Serviço",$M101&lt;&gt;""),IF($L101="",$M101,CONCATENATE($L101,"-",$M101)))</f>
        <v>SINAPI-102255</v>
      </c>
      <c r="X101" s="4">
        <f aca="true" t="shared" si="41" ref="X101:X126">IF(AND(Fonte&lt;&gt;"",Código&lt;&gt;""),MATCH(Fonte&amp;" "&amp;IF(Fonte="sinapi",SUBSTITUTE(SUBSTITUTE(Código,"/00","/"),"/0","/"),Código),INDIRECT("'[Referência "&amp;_XLNM.DATABASE&amp;".xls]Banco'!$a:$a"),0),"X")</f>
        <v>5867</v>
      </c>
      <c r="Y101" s="121">
        <v>975.56</v>
      </c>
      <c r="Z101" s="132">
        <f ca="1">ROUND(IF(ISNUMBER(R101),R101,IF(LEFT(R101,3)="BDI",HLOOKUP(R101,DADOS!$T$37:$X$38,2,FALSE),0)),15-11*$X$5)</f>
        <v>0.2034</v>
      </c>
      <c r="AA101" s="4"/>
    </row>
    <row r="102" spans="1:27" ht="12.75" customHeight="1">
      <c r="A102">
        <f aca="true" t="shared" si="42" ref="A102:A126">CHOOSE(1+LOG(1+2*(J102="Meta")+4*(J102="Nível 2")+8*(J102="Nível 3")+16*(J102="Nível 4")+32*(J102="Serviço"),2),0,1,2,3,4,"S")</f>
        <v>1</v>
      </c>
      <c r="B102">
        <f aca="true" t="shared" si="43" ref="B102:B126">IF(OR(A102="S",A102=0),0,IF(ISERROR(I102),H102,SMALL(H102:I102,1)))</f>
        <v>25</v>
      </c>
      <c r="C102">
        <f aca="true" ca="1" t="shared" si="44" ref="C102:C126">IF($A102=1,OFFSET(C102,-1,0)+1,OFFSET(C102,-1,0))</f>
        <v>13</v>
      </c>
      <c r="D102">
        <f aca="true" ca="1" t="shared" si="45" ref="D102:D126">IF($A102=1,0,IF($A102=2,OFFSET(D102,-1,0)+1,OFFSET(D102,-1,0)))</f>
        <v>0</v>
      </c>
      <c r="E102">
        <f aca="true" ca="1" t="shared" si="46" ref="E102:E126">IF(AND($A102&lt;=2,$A102&lt;&gt;0),0,IF($A102=3,OFFSET(E102,-1,0)+1,OFFSET(E102,-1,0)))</f>
        <v>0</v>
      </c>
      <c r="F102">
        <f aca="true" ca="1" t="shared" si="47" ref="F102:F126">IF(AND($A102&lt;=3,$A102&lt;&gt;0),0,IF($A102=4,OFFSET(F102,-1,0)+1,OFFSET(F102,-1,0)))</f>
        <v>0</v>
      </c>
      <c r="G102">
        <f aca="true" ca="1" t="shared" si="48" ref="G102:G126">IF(AND($A102&lt;=4,$A102&lt;&gt;0),0,IF($A102="S",OFFSET(G102,-1,0)+1,OFFSET(G102,-1,0)))</f>
        <v>0</v>
      </c>
      <c r="H102">
        <f ca="1" t="shared" si="34"/>
        <v>32</v>
      </c>
      <c r="I102">
        <f ca="1" t="shared" si="35"/>
        <v>25</v>
      </c>
      <c r="J102" s="394" t="s">
        <v>99</v>
      </c>
      <c r="K102" s="162" t="str">
        <f aca="true" t="shared" si="49" ref="K102:K126">IF($A102=0,"-",CONCATENATE(C102&amp;".",IF(AND($A$5&gt;=2,$A102&gt;=2),D102&amp;".",""),IF(AND($A$5&gt;=3,$A102&gt;=3),E102&amp;".",""),IF(AND($A$5&gt;=4,$A102&gt;=4),F102&amp;".",""),IF($A102="S",G102&amp;".","")))</f>
        <v>13.</v>
      </c>
      <c r="L102" s="395"/>
      <c r="M102" s="395"/>
      <c r="N102" s="398" t="s">
        <v>298</v>
      </c>
      <c r="O102" s="399" t="s">
        <v>106</v>
      </c>
      <c r="P102" s="225">
        <f ca="1">OFFSET(PLQ!$E$12,ROW($P102)-ROW(P$12),0)</f>
        <v>0</v>
      </c>
      <c r="Q102" s="229"/>
      <c r="R102" s="232" t="s">
        <v>7</v>
      </c>
      <c r="S102" s="121">
        <f t="shared" si="39"/>
        <v>0</v>
      </c>
      <c r="T102" s="98">
        <f ca="1" t="shared" si="40"/>
        <v>0</v>
      </c>
      <c r="U102" s="13" t="str">
        <f aca="true" t="shared" si="50" ref="U102:U126">IF($J102="","",IF($N102="","DESCRIÇÃO",IF(AND($J102="Serviço",$O102=""),"UNIDADE",IF($T102&lt;=0,"SEM VALOR",IF(AND($Y102&lt;&gt;"",$Q102&gt;$Y102),"ACIMA REF.","")))))</f>
        <v>SEM VALOR</v>
      </c>
      <c r="V102" s="4">
        <f ca="1">IF(OR($A102=0,$A102="S",$A102&gt;CFF!$A$9),"",MAX(V$12:OFFSET(V102,-1,0))+1)</f>
        <v>19</v>
      </c>
      <c r="W102" s="9" t="b">
        <f aca="true" t="shared" si="51" ref="W102:W126">IF(AND($J102="Serviço",$M102&lt;&gt;""),IF($L102="",$M102,CONCATENATE($L102,"-",$M102)))</f>
        <v>0</v>
      </c>
      <c r="X102" s="4" t="str">
        <f ca="1" t="shared" si="41"/>
        <v>X</v>
      </c>
      <c r="Y102" s="121">
        <v>0</v>
      </c>
      <c r="Z102" s="132">
        <f ca="1">ROUND(IF(ISNUMBER(R102),R102,IF(LEFT(R102,3)="BDI",HLOOKUP(R102,DADOS!$T$37:$X$38,2,FALSE),0)),15-11*$X$5)</f>
        <v>0.2034</v>
      </c>
      <c r="AA102" s="4"/>
    </row>
    <row r="103" spans="1:27" ht="12.75" customHeight="1">
      <c r="A103" t="str">
        <f t="shared" si="42"/>
        <v>S</v>
      </c>
      <c r="B103">
        <f t="shared" si="43"/>
        <v>0</v>
      </c>
      <c r="C103">
        <f ca="1" t="shared" si="44"/>
        <v>13</v>
      </c>
      <c r="D103">
        <f ca="1" t="shared" si="45"/>
        <v>0</v>
      </c>
      <c r="E103">
        <f ca="1" t="shared" si="46"/>
        <v>0</v>
      </c>
      <c r="F103">
        <f ca="1" t="shared" si="47"/>
        <v>0</v>
      </c>
      <c r="G103">
        <f ca="1" t="shared" si="48"/>
        <v>1</v>
      </c>
      <c r="H103">
        <f ca="1" t="shared" si="34"/>
        <v>0</v>
      </c>
      <c r="I103">
        <f ca="1" t="shared" si="35"/>
        <v>0</v>
      </c>
      <c r="J103" s="394" t="s">
        <v>103</v>
      </c>
      <c r="K103" s="162" t="str">
        <f ca="1" t="shared" si="49"/>
        <v>13.0.1.</v>
      </c>
      <c r="L103" s="395" t="s">
        <v>234</v>
      </c>
      <c r="M103" s="395" t="s">
        <v>339</v>
      </c>
      <c r="N103" s="398" t="s">
        <v>421</v>
      </c>
      <c r="O103" s="399" t="s">
        <v>450</v>
      </c>
      <c r="P103" s="225">
        <f ca="1">OFFSET(PLQ!$E$12,ROW($P103)-ROW(P$12),0)</f>
        <v>1</v>
      </c>
      <c r="Q103" s="229"/>
      <c r="R103" s="232" t="s">
        <v>7</v>
      </c>
      <c r="S103" s="121">
        <f t="shared" si="39"/>
        <v>0</v>
      </c>
      <c r="T103" s="98">
        <f ca="1" t="shared" si="40"/>
        <v>0</v>
      </c>
      <c r="U103" s="13" t="str">
        <f ca="1" t="shared" si="50"/>
        <v>SEM VALOR</v>
      </c>
      <c r="V103" s="4" t="str">
        <f ca="1">IF(OR($A103=0,$A103="S",$A103&gt;CFF!$A$9),"",MAX(V$12:OFFSET(V103,-1,0))+1)</f>
        <v/>
      </c>
      <c r="W103" s="9" t="str">
        <f t="shared" si="51"/>
        <v>SINAPI-101512</v>
      </c>
      <c r="X103" s="4">
        <f ca="1" t="shared" si="41"/>
        <v>3157</v>
      </c>
      <c r="Y103" s="121">
        <v>2931.1</v>
      </c>
      <c r="Z103" s="132">
        <f ca="1">ROUND(IF(ISNUMBER(R103),R103,IF(LEFT(R103,3)="BDI",HLOOKUP(R103,DADOS!$T$37:$X$38,2,FALSE),0)),15-11*$X$5)</f>
        <v>0.2034</v>
      </c>
      <c r="AA103" s="4"/>
    </row>
    <row r="104" spans="1:27" ht="12.75" customHeight="1">
      <c r="A104" t="str">
        <f>CHOOSE(1+LOG(1+2*(J104="Meta")+4*(J104="Nível 2")+8*(J104="Nível 3")+16*(J104="Nível 4")+32*(J104="Serviço"),2),0,1,2,3,4,"S")</f>
        <v>S</v>
      </c>
      <c r="B104">
        <f>IF(OR(A104="S",A104=0),0,IF(ISERROR(I104),H104,SMALL(H104:I104,1)))</f>
        <v>0</v>
      </c>
      <c r="C104">
        <f ca="1">IF($A104=1,OFFSET(C104,-1,0)+1,OFFSET(C104,-1,0))</f>
        <v>13</v>
      </c>
      <c r="D104">
        <f ca="1">IF($A104=1,0,IF($A104=2,OFFSET(D104,-1,0)+1,OFFSET(D104,-1,0)))</f>
        <v>0</v>
      </c>
      <c r="E104">
        <f ca="1">IF(AND($A104&lt;=2,$A104&lt;&gt;0),0,IF($A104=3,OFFSET(E104,-1,0)+1,OFFSET(E104,-1,0)))</f>
        <v>0</v>
      </c>
      <c r="F104">
        <f ca="1">IF(AND($A104&lt;=3,$A104&lt;&gt;0),0,IF($A104=4,OFFSET(F104,-1,0)+1,OFFSET(F104,-1,0)))</f>
        <v>0</v>
      </c>
      <c r="G104">
        <f ca="1">IF(AND($A104&lt;=4,$A104&lt;&gt;0),0,IF($A104="S",OFFSET(G104,-1,0)+1,OFFSET(G104,-1,0)))</f>
        <v>2</v>
      </c>
      <c r="H104">
        <f ca="1" t="shared" si="34"/>
        <v>0</v>
      </c>
      <c r="I104">
        <f ca="1" t="shared" si="35"/>
        <v>0</v>
      </c>
      <c r="J104" s="394" t="s">
        <v>103</v>
      </c>
      <c r="K104" s="162" t="str">
        <f ca="1">IF($A104=0,"-",CONCATENATE(C104&amp;".",IF(AND($A$5&gt;=2,$A104&gt;=2),D104&amp;".",""),IF(AND($A$5&gt;=3,$A104&gt;=3),E104&amp;".",""),IF(AND($A$5&gt;=4,$A104&gt;=4),F104&amp;".",""),IF($A104="S",G104&amp;".","")))</f>
        <v>13.0.2.</v>
      </c>
      <c r="L104" s="395" t="s">
        <v>239</v>
      </c>
      <c r="M104" s="395" t="s">
        <v>340</v>
      </c>
      <c r="N104" s="398" t="s">
        <v>422</v>
      </c>
      <c r="O104" s="399" t="s">
        <v>451</v>
      </c>
      <c r="P104" s="225">
        <f ca="1">OFFSET(PLQ!$E$12,ROW($P104)-ROW(P$12),0)</f>
        <v>1</v>
      </c>
      <c r="Q104" s="229"/>
      <c r="R104" s="232" t="s">
        <v>7</v>
      </c>
      <c r="S104" s="121">
        <f>IF($A104="S",IF($Q$10="Preço Unitário (R$)",PO.CustoUnitario,ROUND(PO.CustoUnitario*(1+$Z104),15-13*$X$6)),0)</f>
        <v>0</v>
      </c>
      <c r="T104" s="98">
        <f ca="1">IF($A104="S",VTOTAL1,IF($A104=0,0,ROUND(SomaAgrup,15-13*$X$7)))</f>
        <v>0</v>
      </c>
      <c r="U104" s="13" t="str">
        <f ca="1">IF($J104="","",IF($N104="","DESCRIÇÃO",IF(AND($J104="Serviço",$O104=""),"UNIDADE",IF($T104&lt;=0,"SEM VALOR",IF(AND($Y104&lt;&gt;"",$Q104&gt;$Y104),"ACIMA REF.","")))))</f>
        <v>SEM VALOR</v>
      </c>
      <c r="V104" s="4" t="str">
        <f ca="1">IF(OR($A104=0,$A104="S",$A104&gt;CFF!$A$9),"",MAX(V$12:OFFSET(V104,-1,0))+1)</f>
        <v/>
      </c>
      <c r="W104" s="9" t="str">
        <f>IF(AND($J104="Serviço",$M104&lt;&gt;""),IF($L104="",$M104,CONCATENATE($L104,"-",$M104)))</f>
        <v>SINAPI-I-14166</v>
      </c>
      <c r="X104" s="4">
        <f ca="1">IF(AND(Fonte&lt;&gt;"",Código&lt;&gt;""),MATCH(Fonte&amp;" "&amp;IF(Fonte="sinapi",SUBSTITUTE(SUBSTITUTE(Código,"/00","/"),"/0","/"),Código),INDIRECT("'[Referência "&amp;_XLNM.DATABASE&amp;".xls]Banco'!$a:$a"),0),"X")</f>
        <v>11092</v>
      </c>
      <c r="Y104" s="121">
        <v>2010.82</v>
      </c>
      <c r="Z104" s="132">
        <f ca="1">ROUND(IF(ISNUMBER(R104),R104,IF(LEFT(R104,3)="BDI",HLOOKUP(R104,DADOS!$T$37:$X$38,2,FALSE),0)),15-11*$X$5)</f>
        <v>0.2034</v>
      </c>
      <c r="AA104" s="4"/>
    </row>
    <row r="105" spans="1:27" ht="12.75" customHeight="1">
      <c r="A105" t="str">
        <f>CHOOSE(1+LOG(1+2*(J105="Meta")+4*(J105="Nível 2")+8*(J105="Nível 3")+16*(J105="Nível 4")+32*(J105="Serviço"),2),0,1,2,3,4,"S")</f>
        <v>S</v>
      </c>
      <c r="B105">
        <f>IF(OR(A105="S",A105=0),0,IF(ISERROR(I105),H105,SMALL(H105:I105,1)))</f>
        <v>0</v>
      </c>
      <c r="C105">
        <f ca="1">IF($A105=1,OFFSET(C105,-1,0)+1,OFFSET(C105,-1,0))</f>
        <v>13</v>
      </c>
      <c r="D105">
        <f ca="1">IF($A105=1,0,IF($A105=2,OFFSET(D105,-1,0)+1,OFFSET(D105,-1,0)))</f>
        <v>0</v>
      </c>
      <c r="E105">
        <f ca="1">IF(AND($A105&lt;=2,$A105&lt;&gt;0),0,IF($A105=3,OFFSET(E105,-1,0)+1,OFFSET(E105,-1,0)))</f>
        <v>0</v>
      </c>
      <c r="F105">
        <f ca="1">IF(AND($A105&lt;=3,$A105&lt;&gt;0),0,IF($A105=4,OFFSET(F105,-1,0)+1,OFFSET(F105,-1,0)))</f>
        <v>0</v>
      </c>
      <c r="G105">
        <f ca="1">IF(AND($A105&lt;=4,$A105&lt;&gt;0),0,IF($A105="S",OFFSET(G105,-1,0)+1,OFFSET(G105,-1,0)))</f>
        <v>3</v>
      </c>
      <c r="H105">
        <f ca="1" t="shared" si="34"/>
        <v>0</v>
      </c>
      <c r="I105">
        <f ca="1" t="shared" si="35"/>
        <v>0</v>
      </c>
      <c r="J105" s="394" t="s">
        <v>103</v>
      </c>
      <c r="K105" s="162" t="str">
        <f ca="1">IF($A105=0,"-",CONCATENATE(C105&amp;".",IF(AND($A$5&gt;=2,$A105&gt;=2),D105&amp;".",""),IF(AND($A$5&gt;=3,$A105&gt;=3),E105&amp;".",""),IF(AND($A$5&gt;=4,$A105&gt;=4),F105&amp;".",""),IF($A105="S",G105&amp;".","")))</f>
        <v>13.0.3.</v>
      </c>
      <c r="L105" s="395" t="s">
        <v>234</v>
      </c>
      <c r="M105" s="395" t="s">
        <v>299</v>
      </c>
      <c r="N105" s="398" t="s">
        <v>423</v>
      </c>
      <c r="O105" s="399" t="s">
        <v>447</v>
      </c>
      <c r="P105" s="225">
        <f ca="1">OFFSET(PLQ!$E$12,ROW($P105)-ROW(P$12),0)</f>
        <v>150</v>
      </c>
      <c r="Q105" s="229"/>
      <c r="R105" s="232" t="s">
        <v>7</v>
      </c>
      <c r="S105" s="121">
        <f>IF($A105="S",IF($Q$10="Preço Unitário (R$)",PO.CustoUnitario,ROUND(PO.CustoUnitario*(1+$Z105),15-13*$X$6)),0)</f>
        <v>0</v>
      </c>
      <c r="T105" s="98">
        <f ca="1">IF($A105="S",VTOTAL1,IF($A105=0,0,ROUND(SomaAgrup,15-13*$X$7)))</f>
        <v>0</v>
      </c>
      <c r="U105" s="13" t="str">
        <f ca="1">IF($J105="","",IF($N105="","DESCRIÇÃO",IF(AND($J105="Serviço",$O105=""),"UNIDADE",IF($T105&lt;=0,"SEM VALOR",IF(AND($Y105&lt;&gt;"",$Q105&gt;$Y105),"ACIMA REF.","")))))</f>
        <v>SEM VALOR</v>
      </c>
      <c r="V105" s="4" t="str">
        <f ca="1">IF(OR($A105=0,$A105="S",$A105&gt;CFF!$A$9),"",MAX(V$12:OFFSET(V105,-1,0))+1)</f>
        <v/>
      </c>
      <c r="W105" s="9" t="str">
        <f>IF(AND($J105="Serviço",$M105&lt;&gt;""),IF($L105="",$M105,CONCATENATE($L105,"-",$M105)))</f>
        <v>SINAPI-91852</v>
      </c>
      <c r="X105" s="4">
        <f ca="1">IF(AND(Fonte&lt;&gt;"",Código&lt;&gt;""),MATCH(Fonte&amp;" "&amp;IF(Fonte="sinapi",SUBSTITUTE(SUBSTITUTE(Código,"/00","/"),"/0","/"),Código),INDIRECT("'[Referência "&amp;_XLNM.DATABASE&amp;".xls]Banco'!$a:$a"),0),"X")</f>
        <v>2771</v>
      </c>
      <c r="Y105" s="121">
        <v>11.7</v>
      </c>
      <c r="Z105" s="132">
        <f ca="1">ROUND(IF(ISNUMBER(R105),R105,IF(LEFT(R105,3)="BDI",HLOOKUP(R105,DADOS!$T$37:$X$38,2,FALSE),0)),15-11*$X$5)</f>
        <v>0.2034</v>
      </c>
      <c r="AA105" s="4"/>
    </row>
    <row r="106" spans="1:27" ht="12.75" customHeight="1">
      <c r="A106" t="str">
        <f t="shared" si="42"/>
        <v>S</v>
      </c>
      <c r="B106">
        <f t="shared" si="43"/>
        <v>0</v>
      </c>
      <c r="C106">
        <f ca="1" t="shared" si="44"/>
        <v>13</v>
      </c>
      <c r="D106">
        <f ca="1" t="shared" si="45"/>
        <v>0</v>
      </c>
      <c r="E106">
        <f ca="1" t="shared" si="46"/>
        <v>0</v>
      </c>
      <c r="F106">
        <f ca="1" t="shared" si="47"/>
        <v>0</v>
      </c>
      <c r="G106">
        <f ca="1" t="shared" si="48"/>
        <v>4</v>
      </c>
      <c r="H106">
        <f ca="1" t="shared" si="34"/>
        <v>0</v>
      </c>
      <c r="I106">
        <f ca="1" t="shared" si="35"/>
        <v>0</v>
      </c>
      <c r="J106" s="394" t="s">
        <v>103</v>
      </c>
      <c r="K106" s="162" t="str">
        <f ca="1" t="shared" si="49"/>
        <v>13.0.4.</v>
      </c>
      <c r="L106" s="395" t="s">
        <v>234</v>
      </c>
      <c r="M106" s="395" t="s">
        <v>300</v>
      </c>
      <c r="N106" s="398" t="s">
        <v>424</v>
      </c>
      <c r="O106" s="399" t="s">
        <v>447</v>
      </c>
      <c r="P106" s="225">
        <f ca="1">OFFSET(PLQ!$E$12,ROW($P106)-ROW(P$12),0)</f>
        <v>750</v>
      </c>
      <c r="Q106" s="229"/>
      <c r="R106" s="232" t="s">
        <v>7</v>
      </c>
      <c r="S106" s="121">
        <f t="shared" si="39"/>
        <v>0</v>
      </c>
      <c r="T106" s="98">
        <f ca="1" t="shared" si="40"/>
        <v>0</v>
      </c>
      <c r="U106" s="13" t="str">
        <f ca="1" t="shared" si="50"/>
        <v>SEM VALOR</v>
      </c>
      <c r="V106" s="4" t="str">
        <f ca="1">IF(OR($A106=0,$A106="S",$A106&gt;CFF!$A$9),"",MAX(V$12:OFFSET(V106,-1,0))+1)</f>
        <v/>
      </c>
      <c r="W106" s="9" t="str">
        <f t="shared" si="51"/>
        <v>SINAPI-91926</v>
      </c>
      <c r="X106" s="4">
        <f ca="1" t="shared" si="41"/>
        <v>2856</v>
      </c>
      <c r="Y106" s="121">
        <v>5.07</v>
      </c>
      <c r="Z106" s="132">
        <f ca="1">ROUND(IF(ISNUMBER(R106),R106,IF(LEFT(R106,3)="BDI",HLOOKUP(R106,DADOS!$T$37:$X$38,2,FALSE),0)),15-11*$X$5)</f>
        <v>0.2034</v>
      </c>
      <c r="AA106" s="4"/>
    </row>
    <row r="107" spans="1:27" ht="12.75" customHeight="1">
      <c r="A107" t="str">
        <f t="shared" si="42"/>
        <v>S</v>
      </c>
      <c r="B107">
        <f t="shared" si="43"/>
        <v>0</v>
      </c>
      <c r="C107">
        <f ca="1" t="shared" si="44"/>
        <v>13</v>
      </c>
      <c r="D107">
        <f ca="1" t="shared" si="45"/>
        <v>0</v>
      </c>
      <c r="E107">
        <f ca="1" t="shared" si="46"/>
        <v>0</v>
      </c>
      <c r="F107">
        <f ca="1" t="shared" si="47"/>
        <v>0</v>
      </c>
      <c r="G107">
        <f ca="1" t="shared" si="48"/>
        <v>5</v>
      </c>
      <c r="H107">
        <f ca="1" t="shared" si="34"/>
        <v>0</v>
      </c>
      <c r="I107">
        <f ca="1" t="shared" si="35"/>
        <v>0</v>
      </c>
      <c r="J107" s="394" t="s">
        <v>103</v>
      </c>
      <c r="K107" s="162" t="str">
        <f ca="1" t="shared" si="49"/>
        <v>13.0.5.</v>
      </c>
      <c r="L107" s="395" t="s">
        <v>234</v>
      </c>
      <c r="M107" s="395" t="s">
        <v>301</v>
      </c>
      <c r="N107" s="398" t="s">
        <v>425</v>
      </c>
      <c r="O107" s="399" t="s">
        <v>447</v>
      </c>
      <c r="P107" s="225">
        <f ca="1">OFFSET(PLQ!$E$12,ROW($P107)-ROW(P$12),0)</f>
        <v>95</v>
      </c>
      <c r="Q107" s="229"/>
      <c r="R107" s="232" t="s">
        <v>7</v>
      </c>
      <c r="S107" s="121">
        <f t="shared" si="39"/>
        <v>0</v>
      </c>
      <c r="T107" s="98">
        <f ca="1" t="shared" si="40"/>
        <v>0</v>
      </c>
      <c r="U107" s="13" t="str">
        <f ca="1" t="shared" si="50"/>
        <v>SEM VALOR</v>
      </c>
      <c r="V107" s="4" t="str">
        <f ca="1">IF(OR($A107=0,$A107="S",$A107&gt;CFF!$A$9),"",MAX(V$12:OFFSET(V107,-1,0))+1)</f>
        <v/>
      </c>
      <c r="W107" s="9" t="str">
        <f t="shared" si="51"/>
        <v>SINAPI-91928</v>
      </c>
      <c r="X107" s="4">
        <f ca="1" t="shared" si="41"/>
        <v>2858</v>
      </c>
      <c r="Y107" s="121">
        <v>7.85</v>
      </c>
      <c r="Z107" s="132">
        <f ca="1">ROUND(IF(ISNUMBER(R107),R107,IF(LEFT(R107,3)="BDI",HLOOKUP(R107,DADOS!$T$37:$X$38,2,FALSE),0)),15-11*$X$5)</f>
        <v>0.2034</v>
      </c>
      <c r="AA107" s="4"/>
    </row>
    <row r="108" spans="1:27" ht="12.75" customHeight="1">
      <c r="A108" t="str">
        <f t="shared" si="42"/>
        <v>S</v>
      </c>
      <c r="B108">
        <f t="shared" si="43"/>
        <v>0</v>
      </c>
      <c r="C108">
        <f ca="1" t="shared" si="44"/>
        <v>13</v>
      </c>
      <c r="D108">
        <f ca="1" t="shared" si="45"/>
        <v>0</v>
      </c>
      <c r="E108">
        <f ca="1" t="shared" si="46"/>
        <v>0</v>
      </c>
      <c r="F108">
        <f ca="1" t="shared" si="47"/>
        <v>0</v>
      </c>
      <c r="G108">
        <f ca="1" t="shared" si="48"/>
        <v>6</v>
      </c>
      <c r="H108">
        <f ca="1" t="shared" si="34"/>
        <v>0</v>
      </c>
      <c r="I108">
        <f ca="1" t="shared" si="35"/>
        <v>0</v>
      </c>
      <c r="J108" s="394" t="s">
        <v>103</v>
      </c>
      <c r="K108" s="162" t="str">
        <f ca="1" t="shared" si="49"/>
        <v>13.0.6.</v>
      </c>
      <c r="L108" s="395" t="s">
        <v>234</v>
      </c>
      <c r="M108" s="395" t="s">
        <v>302</v>
      </c>
      <c r="N108" s="398" t="s">
        <v>426</v>
      </c>
      <c r="O108" s="399" t="s">
        <v>447</v>
      </c>
      <c r="P108" s="225">
        <f ca="1">OFFSET(PLQ!$E$12,ROW($P108)-ROW(P$12),0)</f>
        <v>95</v>
      </c>
      <c r="Q108" s="229"/>
      <c r="R108" s="232" t="s">
        <v>7</v>
      </c>
      <c r="S108" s="121">
        <f t="shared" si="39"/>
        <v>0</v>
      </c>
      <c r="T108" s="98">
        <f ca="1" t="shared" si="40"/>
        <v>0</v>
      </c>
      <c r="U108" s="13" t="str">
        <f ca="1" t="shared" si="50"/>
        <v>SEM VALOR</v>
      </c>
      <c r="V108" s="4" t="str">
        <f ca="1">IF(OR($A108=0,$A108="S",$A108&gt;CFF!$A$9),"",MAX(V$12:OFFSET(V108,-1,0))+1)</f>
        <v/>
      </c>
      <c r="W108" s="9" t="str">
        <f t="shared" si="51"/>
        <v>SINAPI-91930</v>
      </c>
      <c r="X108" s="4">
        <f ca="1" t="shared" si="41"/>
        <v>2860</v>
      </c>
      <c r="Y108" s="121">
        <v>10.94</v>
      </c>
      <c r="Z108" s="132">
        <f ca="1">ROUND(IF(ISNUMBER(R108),R108,IF(LEFT(R108,3)="BDI",HLOOKUP(R108,DADOS!$T$37:$X$38,2,FALSE),0)),15-11*$X$5)</f>
        <v>0.2034</v>
      </c>
      <c r="AA108" s="4"/>
    </row>
    <row r="109" spans="1:27" ht="12.75" customHeight="1">
      <c r="A109" t="str">
        <f>CHOOSE(1+LOG(1+2*(J109="Meta")+4*(J109="Nível 2")+8*(J109="Nível 3")+16*(J109="Nível 4")+32*(J109="Serviço"),2),0,1,2,3,4,"S")</f>
        <v>S</v>
      </c>
      <c r="B109">
        <f>IF(OR(A109="S",A109=0),0,IF(ISERROR(I109),H109,SMALL(H109:I109,1)))</f>
        <v>0</v>
      </c>
      <c r="C109">
        <f ca="1">IF($A109=1,OFFSET(C109,-1,0)+1,OFFSET(C109,-1,0))</f>
        <v>13</v>
      </c>
      <c r="D109">
        <f ca="1">IF($A109=1,0,IF($A109=2,OFFSET(D109,-1,0)+1,OFFSET(D109,-1,0)))</f>
        <v>0</v>
      </c>
      <c r="E109">
        <f ca="1">IF(AND($A109&lt;=2,$A109&lt;&gt;0),0,IF($A109=3,OFFSET(E109,-1,0)+1,OFFSET(E109,-1,0)))</f>
        <v>0</v>
      </c>
      <c r="F109">
        <f ca="1">IF(AND($A109&lt;=3,$A109&lt;&gt;0),0,IF($A109=4,OFFSET(F109,-1,0)+1,OFFSET(F109,-1,0)))</f>
        <v>0</v>
      </c>
      <c r="G109">
        <f ca="1">IF(AND($A109&lt;=4,$A109&lt;&gt;0),0,IF($A109="S",OFFSET(G109,-1,0)+1,OFFSET(G109,-1,0)))</f>
        <v>7</v>
      </c>
      <c r="H109">
        <f aca="true" ca="1" t="shared" si="52" ref="H109:H133">IF(OR($A109="S",$A109=0),0,MATCH(0,OFFSET($B109,1,$A109,ROW($A$134)-ROW($A109)),0))</f>
        <v>0</v>
      </c>
      <c r="I109">
        <f aca="true" ca="1" t="shared" si="53" ref="I109:I133">IF(OR($A109="S",$A109=0),0,MATCH(OFFSET($B109,0,$A109)+1,OFFSET($B109,1,$A109,ROW($A$134)-ROW($A109)),0))</f>
        <v>0</v>
      </c>
      <c r="J109" s="394" t="s">
        <v>103</v>
      </c>
      <c r="K109" s="162" t="str">
        <f ca="1">IF($A109=0,"-",CONCATENATE(C109&amp;".",IF(AND($A$5&gt;=2,$A109&gt;=2),D109&amp;".",""),IF(AND($A$5&gt;=3,$A109&gt;=3),E109&amp;".",""),IF(AND($A$5&gt;=4,$A109&gt;=4),F109&amp;".",""),IF($A109="S",G109&amp;".","")))</f>
        <v>13.0.7.</v>
      </c>
      <c r="L109" s="395" t="s">
        <v>234</v>
      </c>
      <c r="M109" s="395" t="s">
        <v>351</v>
      </c>
      <c r="N109" s="398" t="s">
        <v>427</v>
      </c>
      <c r="O109" s="399" t="s">
        <v>447</v>
      </c>
      <c r="P109" s="225">
        <f ca="1">OFFSET(PLQ!$E$12,ROW($P109)-ROW(P$12),0)</f>
        <v>50</v>
      </c>
      <c r="Q109" s="229"/>
      <c r="R109" s="232" t="s">
        <v>7</v>
      </c>
      <c r="S109" s="121">
        <f>IF($A109="S",IF($Q$10="Preço Unitário (R$)",PO.CustoUnitario,ROUND(PO.CustoUnitario*(1+$Z109),15-13*$X$6)),0)</f>
        <v>0</v>
      </c>
      <c r="T109" s="98">
        <f ca="1">IF($A109="S",VTOTAL1,IF($A109=0,0,ROUND(SomaAgrup,15-13*$X$7)))</f>
        <v>0</v>
      </c>
      <c r="U109" s="13" t="str">
        <f ca="1">IF($J109="","",IF($N109="","DESCRIÇÃO",IF(AND($J109="Serviço",$O109=""),"UNIDADE",IF($T109&lt;=0,"SEM VALOR",IF(AND($Y109&lt;&gt;"",$Q109&gt;$Y109),"ACIMA REF.","")))))</f>
        <v>SEM VALOR</v>
      </c>
      <c r="V109" s="4" t="str">
        <f ca="1">IF(OR($A109=0,$A109="S",$A109&gt;CFF!$A$9),"",MAX(V$12:OFFSET(V109,-1,0))+1)</f>
        <v/>
      </c>
      <c r="W109" s="9" t="str">
        <f>IF(AND($J109="Serviço",$M109&lt;&gt;""),IF($L109="",$M109,CONCATENATE($L109,"-",$M109)))</f>
        <v>SINAPI-91932</v>
      </c>
      <c r="X109" s="4">
        <f ca="1">IF(AND(Fonte&lt;&gt;"",Código&lt;&gt;""),MATCH(Fonte&amp;" "&amp;IF(Fonte="sinapi",SUBSTITUTE(SUBSTITUTE(Código,"/00","/"),"/0","/"),Código),INDIRECT("'[Referência "&amp;_XLNM.DATABASE&amp;".xls]Banco'!$a:$a"),0),"X")</f>
        <v>2862</v>
      </c>
      <c r="Y109" s="121">
        <v>19.58</v>
      </c>
      <c r="Z109" s="132">
        <f ca="1">ROUND(IF(ISNUMBER(R109),R109,IF(LEFT(R109,3)="BDI",HLOOKUP(R109,DADOS!$T$37:$X$38,2,FALSE),0)),15-11*$X$5)</f>
        <v>0.2034</v>
      </c>
      <c r="AA109" s="4"/>
    </row>
    <row r="110" spans="1:27" ht="12.75" customHeight="1">
      <c r="A110" t="str">
        <f>CHOOSE(1+LOG(1+2*(J110="Meta")+4*(J110="Nível 2")+8*(J110="Nível 3")+16*(J110="Nível 4")+32*(J110="Serviço"),2),0,1,2,3,4,"S")</f>
        <v>S</v>
      </c>
      <c r="B110">
        <f>IF(OR(A110="S",A110=0),0,IF(ISERROR(I110),H110,SMALL(H110:I110,1)))</f>
        <v>0</v>
      </c>
      <c r="C110">
        <f ca="1">IF($A110=1,OFFSET(C110,-1,0)+1,OFFSET(C110,-1,0))</f>
        <v>13</v>
      </c>
      <c r="D110">
        <f ca="1">IF($A110=1,0,IF($A110=2,OFFSET(D110,-1,0)+1,OFFSET(D110,-1,0)))</f>
        <v>0</v>
      </c>
      <c r="E110">
        <f ca="1">IF(AND($A110&lt;=2,$A110&lt;&gt;0),0,IF($A110=3,OFFSET(E110,-1,0)+1,OFFSET(E110,-1,0)))</f>
        <v>0</v>
      </c>
      <c r="F110">
        <f ca="1">IF(AND($A110&lt;=3,$A110&lt;&gt;0),0,IF($A110=4,OFFSET(F110,-1,0)+1,OFFSET(F110,-1,0)))</f>
        <v>0</v>
      </c>
      <c r="G110">
        <f ca="1">IF(AND($A110&lt;=4,$A110&lt;&gt;0),0,IF($A110="S",OFFSET(G110,-1,0)+1,OFFSET(G110,-1,0)))</f>
        <v>8</v>
      </c>
      <c r="H110">
        <f ca="1" t="shared" si="52"/>
        <v>0</v>
      </c>
      <c r="I110">
        <f ca="1" t="shared" si="53"/>
        <v>0</v>
      </c>
      <c r="J110" s="394" t="s">
        <v>103</v>
      </c>
      <c r="K110" s="162" t="str">
        <f ca="1">IF($A110=0,"-",CONCATENATE(C110&amp;".",IF(AND($A$5&gt;=2,$A110&gt;=2),D110&amp;".",""),IF(AND($A$5&gt;=3,$A110&gt;=3),E110&amp;".",""),IF(AND($A$5&gt;=4,$A110&gt;=4),F110&amp;".",""),IF($A110="S",G110&amp;".","")))</f>
        <v>13.0.8.</v>
      </c>
      <c r="L110" s="395" t="s">
        <v>234</v>
      </c>
      <c r="M110" s="395" t="s">
        <v>352</v>
      </c>
      <c r="N110" s="398" t="s">
        <v>428</v>
      </c>
      <c r="O110" s="399" t="s">
        <v>450</v>
      </c>
      <c r="P110" s="225">
        <f ca="1">OFFSET(PLQ!$E$12,ROW($P110)-ROW(P$12),0)</f>
        <v>1</v>
      </c>
      <c r="Q110" s="229"/>
      <c r="R110" s="232" t="s">
        <v>7</v>
      </c>
      <c r="S110" s="121">
        <f>IF($A110="S",IF($Q$10="Preço Unitário (R$)",PO.CustoUnitario,ROUND(PO.CustoUnitario*(1+$Z110),15-13*$X$6)),0)</f>
        <v>0</v>
      </c>
      <c r="T110" s="98">
        <f ca="1">IF($A110="S",VTOTAL1,IF($A110=0,0,ROUND(SomaAgrup,15-13*$X$7)))</f>
        <v>0</v>
      </c>
      <c r="U110" s="13" t="str">
        <f ca="1">IF($J110="","",IF($N110="","DESCRIÇÃO",IF(AND($J110="Serviço",$O110=""),"UNIDADE",IF($T110&lt;=0,"SEM VALOR",IF(AND($Y110&lt;&gt;"",$Q110&gt;$Y110),"ACIMA REF.","")))))</f>
        <v>SEM VALOR</v>
      </c>
      <c r="V110" s="4" t="str">
        <f ca="1">IF(OR($A110=0,$A110="S",$A110&gt;CFF!$A$9),"",MAX(V$12:OFFSET(V110,-1,0))+1)</f>
        <v/>
      </c>
      <c r="W110" s="9" t="str">
        <f>IF(AND($J110="Serviço",$M110&lt;&gt;""),IF($L110="",$M110,CONCATENATE($L110,"-",$M110)))</f>
        <v>SINAPI-93666</v>
      </c>
      <c r="X110" s="4">
        <f ca="1">IF(AND(Fonte&lt;&gt;"",Código&lt;&gt;""),MATCH(Fonte&amp;" "&amp;IF(Fonte="sinapi",SUBSTITUTE(SUBSTITUTE(Código,"/00","/"),"/0","/"),Código),INDIRECT("'[Referência "&amp;_XLNM.DATABASE&amp;".xls]Banco'!$a:$a"),0),"X")</f>
        <v>2970</v>
      </c>
      <c r="Y110" s="121">
        <v>82.94</v>
      </c>
      <c r="Z110" s="132">
        <f ca="1">ROUND(IF(ISNUMBER(R110),R110,IF(LEFT(R110,3)="BDI",HLOOKUP(R110,DADOS!$T$37:$X$38,2,FALSE),0)),15-11*$X$5)</f>
        <v>0.2034</v>
      </c>
      <c r="AA110" s="4"/>
    </row>
    <row r="111" spans="1:27" ht="12.75" customHeight="1">
      <c r="A111" t="str">
        <f t="shared" si="42"/>
        <v>S</v>
      </c>
      <c r="B111">
        <f t="shared" si="43"/>
        <v>0</v>
      </c>
      <c r="C111">
        <f ca="1" t="shared" si="44"/>
        <v>13</v>
      </c>
      <c r="D111">
        <f ca="1" t="shared" si="45"/>
        <v>0</v>
      </c>
      <c r="E111">
        <f ca="1" t="shared" si="46"/>
        <v>0</v>
      </c>
      <c r="F111">
        <f ca="1" t="shared" si="47"/>
        <v>0</v>
      </c>
      <c r="G111">
        <f ca="1" t="shared" si="48"/>
        <v>9</v>
      </c>
      <c r="H111">
        <f ca="1" t="shared" si="52"/>
        <v>0</v>
      </c>
      <c r="I111">
        <f ca="1" t="shared" si="53"/>
        <v>0</v>
      </c>
      <c r="J111" s="394" t="s">
        <v>103</v>
      </c>
      <c r="K111" s="162" t="str">
        <f ca="1" t="shared" si="49"/>
        <v>13.0.9.</v>
      </c>
      <c r="L111" s="395" t="s">
        <v>234</v>
      </c>
      <c r="M111" s="395" t="s">
        <v>304</v>
      </c>
      <c r="N111" s="398" t="s">
        <v>429</v>
      </c>
      <c r="O111" s="399" t="s">
        <v>450</v>
      </c>
      <c r="P111" s="225">
        <f ca="1">OFFSET(PLQ!$E$12,ROW($P111)-ROW(P$12),0)</f>
        <v>4</v>
      </c>
      <c r="Q111" s="229"/>
      <c r="R111" s="232" t="s">
        <v>7</v>
      </c>
      <c r="S111" s="121">
        <f t="shared" si="39"/>
        <v>0</v>
      </c>
      <c r="T111" s="98">
        <f ca="1" t="shared" si="40"/>
        <v>0</v>
      </c>
      <c r="U111" s="13" t="str">
        <f ca="1" t="shared" si="50"/>
        <v>SEM VALOR</v>
      </c>
      <c r="V111" s="4" t="str">
        <f ca="1">IF(OR($A111=0,$A111="S",$A111&gt;CFF!$A$9),"",MAX(V$12:OFFSET(V111,-1,0))+1)</f>
        <v/>
      </c>
      <c r="W111" s="9" t="str">
        <f t="shared" si="51"/>
        <v>SINAPI-93664</v>
      </c>
      <c r="X111" s="4">
        <f ca="1" t="shared" si="41"/>
        <v>2968</v>
      </c>
      <c r="Y111" s="121">
        <v>70.27</v>
      </c>
      <c r="Z111" s="132">
        <f ca="1">ROUND(IF(ISNUMBER(R111),R111,IF(LEFT(R111,3)="BDI",HLOOKUP(R111,DADOS!$T$37:$X$38,2,FALSE),0)),15-11*$X$5)</f>
        <v>0.2034</v>
      </c>
      <c r="AA111" s="4"/>
    </row>
    <row r="112" spans="1:27" ht="12.75" customHeight="1">
      <c r="A112" t="str">
        <f t="shared" si="42"/>
        <v>S</v>
      </c>
      <c r="B112">
        <f t="shared" si="43"/>
        <v>0</v>
      </c>
      <c r="C112">
        <f ca="1" t="shared" si="44"/>
        <v>13</v>
      </c>
      <c r="D112">
        <f ca="1" t="shared" si="45"/>
        <v>0</v>
      </c>
      <c r="E112">
        <f ca="1" t="shared" si="46"/>
        <v>0</v>
      </c>
      <c r="F112">
        <f ca="1" t="shared" si="47"/>
        <v>0</v>
      </c>
      <c r="G112">
        <f ca="1" t="shared" si="48"/>
        <v>10</v>
      </c>
      <c r="H112">
        <f ca="1" t="shared" si="52"/>
        <v>0</v>
      </c>
      <c r="I112">
        <f ca="1" t="shared" si="53"/>
        <v>0</v>
      </c>
      <c r="J112" s="394" t="s">
        <v>103</v>
      </c>
      <c r="K112" s="162" t="str">
        <f ca="1" t="shared" si="49"/>
        <v>13.0.10.</v>
      </c>
      <c r="L112" s="395" t="s">
        <v>234</v>
      </c>
      <c r="M112" s="395" t="s">
        <v>313</v>
      </c>
      <c r="N112" s="398" t="s">
        <v>430</v>
      </c>
      <c r="O112" s="399" t="s">
        <v>450</v>
      </c>
      <c r="P112" s="225">
        <f ca="1">OFFSET(PLQ!$E$12,ROW($P112)-ROW(P$12),0)</f>
        <v>4</v>
      </c>
      <c r="Q112" s="229"/>
      <c r="R112" s="232" t="s">
        <v>7</v>
      </c>
      <c r="S112" s="121">
        <f t="shared" si="39"/>
        <v>0</v>
      </c>
      <c r="T112" s="98">
        <f ca="1" t="shared" si="40"/>
        <v>0</v>
      </c>
      <c r="U112" s="13" t="str">
        <f ca="1" t="shared" si="50"/>
        <v>SEM VALOR</v>
      </c>
      <c r="V112" s="4" t="str">
        <f ca="1">IF(OR($A112=0,$A112="S",$A112&gt;CFF!$A$9),"",MAX(V$12:OFFSET(V112,-1,0))+1)</f>
        <v/>
      </c>
      <c r="W112" s="9" t="str">
        <f t="shared" si="51"/>
        <v>SINAPI-93662</v>
      </c>
      <c r="X112" s="4">
        <f ca="1" t="shared" si="41"/>
        <v>2966</v>
      </c>
      <c r="Y112" s="121">
        <v>66.44</v>
      </c>
      <c r="Z112" s="132">
        <f ca="1">ROUND(IF(ISNUMBER(R112),R112,IF(LEFT(R112,3)="BDI",HLOOKUP(R112,DADOS!$T$37:$X$38,2,FALSE),0)),15-11*$X$5)</f>
        <v>0.2034</v>
      </c>
      <c r="AA112" s="4"/>
    </row>
    <row r="113" spans="1:27" ht="12.75" customHeight="1">
      <c r="A113" t="str">
        <f t="shared" si="42"/>
        <v>S</v>
      </c>
      <c r="B113">
        <f t="shared" si="43"/>
        <v>0</v>
      </c>
      <c r="C113">
        <f ca="1" t="shared" si="44"/>
        <v>13</v>
      </c>
      <c r="D113">
        <f ca="1" t="shared" si="45"/>
        <v>0</v>
      </c>
      <c r="E113">
        <f ca="1" t="shared" si="46"/>
        <v>0</v>
      </c>
      <c r="F113">
        <f ca="1" t="shared" si="47"/>
        <v>0</v>
      </c>
      <c r="G113">
        <f ca="1" t="shared" si="48"/>
        <v>11</v>
      </c>
      <c r="H113">
        <f ca="1" t="shared" si="52"/>
        <v>0</v>
      </c>
      <c r="I113">
        <f ca="1" t="shared" si="53"/>
        <v>0</v>
      </c>
      <c r="J113" s="394" t="s">
        <v>103</v>
      </c>
      <c r="K113" s="162" t="str">
        <f ca="1" t="shared" si="49"/>
        <v>13.0.11.</v>
      </c>
      <c r="L113" s="395" t="s">
        <v>234</v>
      </c>
      <c r="M113" s="395" t="s">
        <v>314</v>
      </c>
      <c r="N113" s="398" t="s">
        <v>431</v>
      </c>
      <c r="O113" s="399" t="s">
        <v>450</v>
      </c>
      <c r="P113" s="225">
        <f ca="1">OFFSET(PLQ!$E$12,ROW($P113)-ROW(P$12),0)</f>
        <v>4</v>
      </c>
      <c r="Q113" s="229"/>
      <c r="R113" s="232" t="s">
        <v>7</v>
      </c>
      <c r="S113" s="121">
        <f t="shared" si="39"/>
        <v>0</v>
      </c>
      <c r="T113" s="98">
        <f ca="1" t="shared" si="40"/>
        <v>0</v>
      </c>
      <c r="U113" s="13" t="str">
        <f ca="1" t="shared" si="50"/>
        <v>SEM VALOR</v>
      </c>
      <c r="V113" s="4" t="str">
        <f ca="1">IF(OR($A113=0,$A113="S",$A113&gt;CFF!$A$9),"",MAX(V$12:OFFSET(V113,-1,0))+1)</f>
        <v/>
      </c>
      <c r="W113" s="9" t="str">
        <f t="shared" si="51"/>
        <v>SINAPI-93661</v>
      </c>
      <c r="X113" s="4">
        <f ca="1" t="shared" si="41"/>
        <v>2965</v>
      </c>
      <c r="Y113" s="121">
        <v>63.25</v>
      </c>
      <c r="Z113" s="132">
        <f ca="1">ROUND(IF(ISNUMBER(R113),R113,IF(LEFT(R113,3)="BDI",HLOOKUP(R113,DADOS!$T$37:$X$38,2,FALSE),0)),15-11*$X$5)</f>
        <v>0.2034</v>
      </c>
      <c r="AA113" s="4"/>
    </row>
    <row r="114" spans="1:27" ht="12.75" customHeight="1">
      <c r="A114" t="str">
        <f t="shared" si="42"/>
        <v>S</v>
      </c>
      <c r="B114">
        <f t="shared" si="43"/>
        <v>0</v>
      </c>
      <c r="C114">
        <f ca="1" t="shared" si="44"/>
        <v>13</v>
      </c>
      <c r="D114">
        <f ca="1" t="shared" si="45"/>
        <v>0</v>
      </c>
      <c r="E114">
        <f ca="1" t="shared" si="46"/>
        <v>0</v>
      </c>
      <c r="F114">
        <f ca="1" t="shared" si="47"/>
        <v>0</v>
      </c>
      <c r="G114">
        <f ca="1" t="shared" si="48"/>
        <v>12</v>
      </c>
      <c r="H114">
        <f ca="1" t="shared" si="52"/>
        <v>0</v>
      </c>
      <c r="I114">
        <f ca="1" t="shared" si="53"/>
        <v>0</v>
      </c>
      <c r="J114" s="394" t="s">
        <v>103</v>
      </c>
      <c r="K114" s="162" t="str">
        <f ca="1" t="shared" si="49"/>
        <v>13.0.12.</v>
      </c>
      <c r="L114" s="395" t="s">
        <v>234</v>
      </c>
      <c r="M114" s="395" t="s">
        <v>305</v>
      </c>
      <c r="N114" s="398" t="s">
        <v>432</v>
      </c>
      <c r="O114" s="399" t="s">
        <v>450</v>
      </c>
      <c r="P114" s="225">
        <f ca="1">OFFSET(PLQ!$E$12,ROW($P114)-ROW(P$12),0)</f>
        <v>3</v>
      </c>
      <c r="Q114" s="229"/>
      <c r="R114" s="232" t="s">
        <v>7</v>
      </c>
      <c r="S114" s="121">
        <f t="shared" si="39"/>
        <v>0</v>
      </c>
      <c r="T114" s="98">
        <f ca="1" t="shared" si="40"/>
        <v>0</v>
      </c>
      <c r="U114" s="13" t="str">
        <f ca="1" t="shared" si="50"/>
        <v>SEM VALOR</v>
      </c>
      <c r="V114" s="4" t="str">
        <f ca="1">IF(OR($A114=0,$A114="S",$A114&gt;CFF!$A$9),"",MAX(V$12:OFFSET(V114,-1,0))+1)</f>
        <v/>
      </c>
      <c r="W114" s="9" t="str">
        <f t="shared" si="51"/>
        <v>SINAPI-91953</v>
      </c>
      <c r="X114" s="4">
        <f ca="1" t="shared" si="41"/>
        <v>3015</v>
      </c>
      <c r="Y114" s="121">
        <v>39.81</v>
      </c>
      <c r="Z114" s="132">
        <f ca="1">ROUND(IF(ISNUMBER(R114),R114,IF(LEFT(R114,3)="BDI",HLOOKUP(R114,DADOS!$T$37:$X$38,2,FALSE),0)),15-11*$X$5)</f>
        <v>0.2034</v>
      </c>
      <c r="AA114" s="4"/>
    </row>
    <row r="115" spans="1:27" ht="12.75" customHeight="1">
      <c r="A115" t="str">
        <f t="shared" si="42"/>
        <v>S</v>
      </c>
      <c r="B115">
        <f t="shared" si="43"/>
        <v>0</v>
      </c>
      <c r="C115">
        <f ca="1" t="shared" si="44"/>
        <v>13</v>
      </c>
      <c r="D115">
        <f ca="1" t="shared" si="45"/>
        <v>0</v>
      </c>
      <c r="E115">
        <f ca="1" t="shared" si="46"/>
        <v>0</v>
      </c>
      <c r="F115">
        <f ca="1" t="shared" si="47"/>
        <v>0</v>
      </c>
      <c r="G115">
        <f ca="1" t="shared" si="48"/>
        <v>13</v>
      </c>
      <c r="H115">
        <f ca="1" t="shared" si="52"/>
        <v>0</v>
      </c>
      <c r="I115">
        <f ca="1" t="shared" si="53"/>
        <v>0</v>
      </c>
      <c r="J115" s="394" t="s">
        <v>103</v>
      </c>
      <c r="K115" s="162" t="str">
        <f ca="1" t="shared" si="49"/>
        <v>13.0.13.</v>
      </c>
      <c r="L115" s="395" t="s">
        <v>234</v>
      </c>
      <c r="M115" s="395" t="s">
        <v>306</v>
      </c>
      <c r="N115" s="398" t="s">
        <v>433</v>
      </c>
      <c r="O115" s="399" t="s">
        <v>450</v>
      </c>
      <c r="P115" s="225">
        <f ca="1">OFFSET(PLQ!$E$12,ROW($P115)-ROW(P$12),0)</f>
        <v>4</v>
      </c>
      <c r="Q115" s="229"/>
      <c r="R115" s="232" t="s">
        <v>7</v>
      </c>
      <c r="S115" s="121">
        <f t="shared" si="39"/>
        <v>0</v>
      </c>
      <c r="T115" s="98">
        <f ca="1" t="shared" si="40"/>
        <v>0</v>
      </c>
      <c r="U115" s="13" t="str">
        <f ca="1" t="shared" si="50"/>
        <v>SEM VALOR</v>
      </c>
      <c r="V115" s="4" t="str">
        <f ca="1">IF(OR($A115=0,$A115="S",$A115&gt;CFF!$A$9),"",MAX(V$12:OFFSET(V115,-1,0))+1)</f>
        <v/>
      </c>
      <c r="W115" s="9" t="str">
        <f t="shared" si="51"/>
        <v>SINAPI-91959</v>
      </c>
      <c r="X115" s="4">
        <f ca="1" t="shared" si="41"/>
        <v>3021</v>
      </c>
      <c r="Y115" s="121">
        <v>60.98</v>
      </c>
      <c r="Z115" s="132">
        <f ca="1">ROUND(IF(ISNUMBER(R115),R115,IF(LEFT(R115,3)="BDI",HLOOKUP(R115,DADOS!$T$37:$X$38,2,FALSE),0)),15-11*$X$5)</f>
        <v>0.2034</v>
      </c>
      <c r="AA115" s="4"/>
    </row>
    <row r="116" spans="1:27" ht="12.75" customHeight="1">
      <c r="A116" t="str">
        <f t="shared" si="42"/>
        <v>S</v>
      </c>
      <c r="B116">
        <f t="shared" si="43"/>
        <v>0</v>
      </c>
      <c r="C116">
        <f ca="1" t="shared" si="44"/>
        <v>13</v>
      </c>
      <c r="D116">
        <f ca="1" t="shared" si="45"/>
        <v>0</v>
      </c>
      <c r="E116">
        <f ca="1" t="shared" si="46"/>
        <v>0</v>
      </c>
      <c r="F116">
        <f ca="1" t="shared" si="47"/>
        <v>0</v>
      </c>
      <c r="G116">
        <f ca="1" t="shared" si="48"/>
        <v>14</v>
      </c>
      <c r="H116">
        <f ca="1" t="shared" si="52"/>
        <v>0</v>
      </c>
      <c r="I116">
        <f ca="1" t="shared" si="53"/>
        <v>0</v>
      </c>
      <c r="J116" s="394" t="s">
        <v>103</v>
      </c>
      <c r="K116" s="162" t="str">
        <f ca="1" t="shared" si="49"/>
        <v>13.0.14.</v>
      </c>
      <c r="L116" s="395" t="s">
        <v>234</v>
      </c>
      <c r="M116" s="395" t="s">
        <v>307</v>
      </c>
      <c r="N116" s="398" t="s">
        <v>434</v>
      </c>
      <c r="O116" s="399" t="s">
        <v>450</v>
      </c>
      <c r="P116" s="225">
        <f ca="1">OFFSET(PLQ!$E$12,ROW($P116)-ROW(P$12),0)</f>
        <v>1</v>
      </c>
      <c r="Q116" s="229"/>
      <c r="R116" s="232" t="s">
        <v>7</v>
      </c>
      <c r="S116" s="121">
        <f t="shared" si="39"/>
        <v>0</v>
      </c>
      <c r="T116" s="98">
        <f ca="1" t="shared" si="40"/>
        <v>0</v>
      </c>
      <c r="U116" s="13" t="str">
        <f ca="1" t="shared" si="50"/>
        <v>SEM VALOR</v>
      </c>
      <c r="V116" s="4" t="str">
        <f ca="1">IF(OR($A116=0,$A116="S",$A116&gt;CFF!$A$9),"",MAX(V$12:OFFSET(V116,-1,0))+1)</f>
        <v/>
      </c>
      <c r="W116" s="9" t="str">
        <f t="shared" si="51"/>
        <v>SINAPI-91975</v>
      </c>
      <c r="X116" s="4">
        <f ca="1" t="shared" si="41"/>
        <v>3037</v>
      </c>
      <c r="Y116" s="121">
        <v>111.11</v>
      </c>
      <c r="Z116" s="132">
        <f ca="1">ROUND(IF(ISNUMBER(R116),R116,IF(LEFT(R116,3)="BDI",HLOOKUP(R116,DADOS!$T$37:$X$38,2,FALSE),0)),15-11*$X$5)</f>
        <v>0.2034</v>
      </c>
      <c r="AA116" s="4"/>
    </row>
    <row r="117" spans="1:27" ht="12.75" customHeight="1">
      <c r="A117" t="str">
        <f t="shared" si="42"/>
        <v>S</v>
      </c>
      <c r="B117">
        <f t="shared" si="43"/>
        <v>0</v>
      </c>
      <c r="C117">
        <f ca="1" t="shared" si="44"/>
        <v>13</v>
      </c>
      <c r="D117">
        <f ca="1" t="shared" si="45"/>
        <v>0</v>
      </c>
      <c r="E117">
        <f ca="1" t="shared" si="46"/>
        <v>0</v>
      </c>
      <c r="F117">
        <f ca="1" t="shared" si="47"/>
        <v>0</v>
      </c>
      <c r="G117">
        <f ca="1" t="shared" si="48"/>
        <v>15</v>
      </c>
      <c r="H117">
        <f ca="1" t="shared" si="52"/>
        <v>0</v>
      </c>
      <c r="I117">
        <f ca="1" t="shared" si="53"/>
        <v>0</v>
      </c>
      <c r="J117" s="394" t="s">
        <v>103</v>
      </c>
      <c r="K117" s="162" t="str">
        <f ca="1" t="shared" si="49"/>
        <v>13.0.15.</v>
      </c>
      <c r="L117" s="395" t="s">
        <v>234</v>
      </c>
      <c r="M117" s="395" t="s">
        <v>308</v>
      </c>
      <c r="N117" s="398" t="s">
        <v>435</v>
      </c>
      <c r="O117" s="399" t="s">
        <v>450</v>
      </c>
      <c r="P117" s="225">
        <f ca="1">OFFSET(PLQ!$E$12,ROW($P117)-ROW(P$12),0)</f>
        <v>4</v>
      </c>
      <c r="Q117" s="229"/>
      <c r="R117" s="232" t="s">
        <v>7</v>
      </c>
      <c r="S117" s="121">
        <f t="shared" si="39"/>
        <v>0</v>
      </c>
      <c r="T117" s="98">
        <f ca="1" t="shared" si="40"/>
        <v>0</v>
      </c>
      <c r="U117" s="13" t="str">
        <f ca="1" t="shared" si="50"/>
        <v>SEM VALOR</v>
      </c>
      <c r="V117" s="4" t="str">
        <f ca="1">IF(OR($A117=0,$A117="S",$A117&gt;CFF!$A$9),"",MAX(V$12:OFFSET(V117,-1,0))+1)</f>
        <v/>
      </c>
      <c r="W117" s="9" t="str">
        <f t="shared" si="51"/>
        <v>SINAPI-91992</v>
      </c>
      <c r="X117" s="4">
        <f ca="1" t="shared" si="41"/>
        <v>3054</v>
      </c>
      <c r="Y117" s="121">
        <v>58.79</v>
      </c>
      <c r="Z117" s="132">
        <f ca="1">ROUND(IF(ISNUMBER(R117),R117,IF(LEFT(R117,3)="BDI",HLOOKUP(R117,DADOS!$T$37:$X$38,2,FALSE),0)),15-11*$X$5)</f>
        <v>0.2034</v>
      </c>
      <c r="AA117" s="4"/>
    </row>
    <row r="118" spans="1:27" ht="12.75" customHeight="1">
      <c r="A118" t="str">
        <f t="shared" si="42"/>
        <v>S</v>
      </c>
      <c r="B118">
        <f t="shared" si="43"/>
        <v>0</v>
      </c>
      <c r="C118">
        <f ca="1" t="shared" si="44"/>
        <v>13</v>
      </c>
      <c r="D118">
        <f ca="1" t="shared" si="45"/>
        <v>0</v>
      </c>
      <c r="E118">
        <f ca="1" t="shared" si="46"/>
        <v>0</v>
      </c>
      <c r="F118">
        <f ca="1" t="shared" si="47"/>
        <v>0</v>
      </c>
      <c r="G118">
        <f ca="1" t="shared" si="48"/>
        <v>16</v>
      </c>
      <c r="H118">
        <f ca="1" t="shared" si="52"/>
        <v>0</v>
      </c>
      <c r="I118">
        <f ca="1" t="shared" si="53"/>
        <v>0</v>
      </c>
      <c r="J118" s="394" t="s">
        <v>103</v>
      </c>
      <c r="K118" s="162" t="str">
        <f ca="1" t="shared" si="49"/>
        <v>13.0.16.</v>
      </c>
      <c r="L118" s="395" t="s">
        <v>234</v>
      </c>
      <c r="M118" s="395" t="s">
        <v>309</v>
      </c>
      <c r="N118" s="398" t="s">
        <v>436</v>
      </c>
      <c r="O118" s="399" t="s">
        <v>450</v>
      </c>
      <c r="P118" s="225">
        <f ca="1">OFFSET(PLQ!$E$12,ROW($P118)-ROW(P$12),0)</f>
        <v>10</v>
      </c>
      <c r="Q118" s="229"/>
      <c r="R118" s="232" t="s">
        <v>7</v>
      </c>
      <c r="S118" s="121">
        <f t="shared" si="39"/>
        <v>0</v>
      </c>
      <c r="T118" s="98">
        <f ca="1" t="shared" si="40"/>
        <v>0</v>
      </c>
      <c r="U118" s="13" t="str">
        <f ca="1" t="shared" si="50"/>
        <v>SEM VALOR</v>
      </c>
      <c r="V118" s="4" t="str">
        <f ca="1">IF(OR($A118=0,$A118="S",$A118&gt;CFF!$A$9),"",MAX(V$12:OFFSET(V118,-1,0))+1)</f>
        <v/>
      </c>
      <c r="W118" s="9" t="str">
        <f t="shared" si="51"/>
        <v>SINAPI-91996</v>
      </c>
      <c r="X118" s="4">
        <f ca="1" t="shared" si="41"/>
        <v>3058</v>
      </c>
      <c r="Y118" s="121">
        <v>46.6</v>
      </c>
      <c r="Z118" s="132">
        <f ca="1">ROUND(IF(ISNUMBER(R118),R118,IF(LEFT(R118,3)="BDI",HLOOKUP(R118,DADOS!$T$37:$X$38,2,FALSE),0)),15-11*$X$5)</f>
        <v>0.2034</v>
      </c>
      <c r="AA118" s="4"/>
    </row>
    <row r="119" spans="1:27" ht="12.75" customHeight="1">
      <c r="A119" t="str">
        <f t="shared" si="42"/>
        <v>S</v>
      </c>
      <c r="B119">
        <f t="shared" si="43"/>
        <v>0</v>
      </c>
      <c r="C119">
        <f ca="1" t="shared" si="44"/>
        <v>13</v>
      </c>
      <c r="D119">
        <f ca="1" t="shared" si="45"/>
        <v>0</v>
      </c>
      <c r="E119">
        <f ca="1" t="shared" si="46"/>
        <v>0</v>
      </c>
      <c r="F119">
        <f ca="1" t="shared" si="47"/>
        <v>0</v>
      </c>
      <c r="G119">
        <f ca="1" t="shared" si="48"/>
        <v>17</v>
      </c>
      <c r="H119">
        <f ca="1" t="shared" si="52"/>
        <v>0</v>
      </c>
      <c r="I119">
        <f ca="1" t="shared" si="53"/>
        <v>0</v>
      </c>
      <c r="J119" s="394" t="s">
        <v>103</v>
      </c>
      <c r="K119" s="162" t="str">
        <f ca="1" t="shared" si="49"/>
        <v>13.0.17.</v>
      </c>
      <c r="L119" s="395" t="s">
        <v>234</v>
      </c>
      <c r="M119" s="395" t="s">
        <v>310</v>
      </c>
      <c r="N119" s="398" t="s">
        <v>437</v>
      </c>
      <c r="O119" s="399" t="s">
        <v>450</v>
      </c>
      <c r="P119" s="225">
        <f ca="1">OFFSET(PLQ!$E$12,ROW($P119)-ROW(P$12),0)</f>
        <v>4</v>
      </c>
      <c r="Q119" s="229"/>
      <c r="R119" s="232" t="s">
        <v>7</v>
      </c>
      <c r="S119" s="121">
        <f t="shared" si="39"/>
        <v>0</v>
      </c>
      <c r="T119" s="98">
        <f ca="1" t="shared" si="40"/>
        <v>0</v>
      </c>
      <c r="U119" s="13" t="str">
        <f ca="1" t="shared" si="50"/>
        <v>SEM VALOR</v>
      </c>
      <c r="V119" s="4" t="str">
        <f ca="1">IF(OR($A119=0,$A119="S",$A119&gt;CFF!$A$9),"",MAX(V$12:OFFSET(V119,-1,0))+1)</f>
        <v/>
      </c>
      <c r="W119" s="9" t="str">
        <f t="shared" si="51"/>
        <v>SINAPI-92000</v>
      </c>
      <c r="X119" s="4">
        <f ca="1" t="shared" si="41"/>
        <v>3062</v>
      </c>
      <c r="Y119" s="121">
        <v>41.88</v>
      </c>
      <c r="Z119" s="132">
        <f ca="1">ROUND(IF(ISNUMBER(R119),R119,IF(LEFT(R119,3)="BDI",HLOOKUP(R119,DADOS!$T$37:$X$38,2,FALSE),0)),15-11*$X$5)</f>
        <v>0.2034</v>
      </c>
      <c r="AA119" s="4"/>
    </row>
    <row r="120" spans="1:27" ht="12.75" customHeight="1">
      <c r="A120" t="str">
        <f t="shared" si="42"/>
        <v>S</v>
      </c>
      <c r="B120">
        <f t="shared" si="43"/>
        <v>0</v>
      </c>
      <c r="C120">
        <f ca="1" t="shared" si="44"/>
        <v>13</v>
      </c>
      <c r="D120">
        <f ca="1" t="shared" si="45"/>
        <v>0</v>
      </c>
      <c r="E120">
        <f ca="1" t="shared" si="46"/>
        <v>0</v>
      </c>
      <c r="F120">
        <f ca="1" t="shared" si="47"/>
        <v>0</v>
      </c>
      <c r="G120">
        <f ca="1" t="shared" si="48"/>
        <v>18</v>
      </c>
      <c r="H120">
        <f ca="1" t="shared" si="52"/>
        <v>0</v>
      </c>
      <c r="I120">
        <f ca="1" t="shared" si="53"/>
        <v>0</v>
      </c>
      <c r="J120" s="394" t="s">
        <v>103</v>
      </c>
      <c r="K120" s="162" t="str">
        <f ca="1" t="shared" si="49"/>
        <v>13.0.18.</v>
      </c>
      <c r="L120" s="395" t="s">
        <v>234</v>
      </c>
      <c r="M120" s="395" t="s">
        <v>311</v>
      </c>
      <c r="N120" s="398" t="s">
        <v>358</v>
      </c>
      <c r="O120" s="399" t="s">
        <v>450</v>
      </c>
      <c r="P120" s="225">
        <f ca="1">OFFSET(PLQ!$E$12,ROW($P120)-ROW(P$12),0)</f>
        <v>28</v>
      </c>
      <c r="Q120" s="229"/>
      <c r="R120" s="232" t="s">
        <v>7</v>
      </c>
      <c r="S120" s="121">
        <f t="shared" si="39"/>
        <v>0</v>
      </c>
      <c r="T120" s="98">
        <f ca="1" t="shared" si="40"/>
        <v>0</v>
      </c>
      <c r="U120" s="13" t="str">
        <f ca="1" t="shared" si="50"/>
        <v>SEM VALOR</v>
      </c>
      <c r="V120" s="4" t="str">
        <f ca="1">IF(OR($A120=0,$A120="S",$A120&gt;CFF!$A$9),"",MAX(V$12:OFFSET(V120,-1,0))+1)</f>
        <v/>
      </c>
      <c r="W120" s="9" t="str">
        <f t="shared" si="51"/>
        <v>SINAPI-103782</v>
      </c>
      <c r="X120" s="4">
        <f ca="1" t="shared" si="41"/>
        <v>3133</v>
      </c>
      <c r="Y120" s="121">
        <v>39.78</v>
      </c>
      <c r="Z120" s="132">
        <f ca="1">ROUND(IF(ISNUMBER(R120),R120,IF(LEFT(R120,3)="BDI",HLOOKUP(R120,DADOS!$T$37:$X$38,2,FALSE),0)),15-11*$X$5)</f>
        <v>0.2034</v>
      </c>
      <c r="AA120" s="4"/>
    </row>
    <row r="121" spans="1:27" ht="12.75" customHeight="1">
      <c r="A121" t="str">
        <f t="shared" si="42"/>
        <v>S</v>
      </c>
      <c r="B121">
        <f t="shared" si="43"/>
        <v>0</v>
      </c>
      <c r="C121">
        <f ca="1" t="shared" si="44"/>
        <v>13</v>
      </c>
      <c r="D121">
        <f ca="1" t="shared" si="45"/>
        <v>0</v>
      </c>
      <c r="E121">
        <f ca="1" t="shared" si="46"/>
        <v>0</v>
      </c>
      <c r="F121">
        <f ca="1" t="shared" si="47"/>
        <v>0</v>
      </c>
      <c r="G121">
        <f ca="1" t="shared" si="48"/>
        <v>19</v>
      </c>
      <c r="H121">
        <f ca="1" t="shared" si="52"/>
        <v>0</v>
      </c>
      <c r="I121">
        <f ca="1" t="shared" si="53"/>
        <v>0</v>
      </c>
      <c r="J121" s="394" t="s">
        <v>103</v>
      </c>
      <c r="K121" s="162" t="str">
        <f ca="1" t="shared" si="49"/>
        <v>13.0.19.</v>
      </c>
      <c r="L121" s="395" t="s">
        <v>303</v>
      </c>
      <c r="M121" s="395" t="s">
        <v>312</v>
      </c>
      <c r="N121" s="398" t="s">
        <v>359</v>
      </c>
      <c r="O121" s="399" t="s">
        <v>451</v>
      </c>
      <c r="P121" s="225">
        <f ca="1">OFFSET(PLQ!$E$12,ROW($P121)-ROW(P$12),0)</f>
        <v>35</v>
      </c>
      <c r="Q121" s="229"/>
      <c r="R121" s="232" t="s">
        <v>7</v>
      </c>
      <c r="S121" s="121">
        <f t="shared" si="39"/>
        <v>0</v>
      </c>
      <c r="T121" s="98">
        <f ca="1" t="shared" si="40"/>
        <v>0</v>
      </c>
      <c r="U121" s="13" t="str">
        <f ca="1" t="shared" si="50"/>
        <v>SEM VALOR</v>
      </c>
      <c r="V121" s="4" t="str">
        <f ca="1">IF(OR($A121=0,$A121="S",$A121&gt;CFF!$A$9),"",MAX(V$12:OFFSET(V121,-1,0))+1)</f>
        <v/>
      </c>
      <c r="W121" s="9" t="str">
        <f t="shared" si="51"/>
        <v>SINAPI-i-39391</v>
      </c>
      <c r="X121" s="4">
        <f ca="1" t="shared" si="41"/>
        <v>10194</v>
      </c>
      <c r="Y121" s="121">
        <v>42.29</v>
      </c>
      <c r="Z121" s="132">
        <f ca="1">ROUND(IF(ISNUMBER(R121),R121,IF(LEFT(R121,3)="BDI",HLOOKUP(R121,DADOS!$T$37:$X$38,2,FALSE),0)),15-11*$X$5)</f>
        <v>0.2034</v>
      </c>
      <c r="AA121" s="4"/>
    </row>
    <row r="122" spans="1:27" ht="12.75" customHeight="1">
      <c r="A122" t="str">
        <f t="shared" si="42"/>
        <v>S</v>
      </c>
      <c r="B122">
        <f t="shared" si="43"/>
        <v>0</v>
      </c>
      <c r="C122">
        <f ca="1" t="shared" si="44"/>
        <v>13</v>
      </c>
      <c r="D122">
        <f ca="1" t="shared" si="45"/>
        <v>0</v>
      </c>
      <c r="E122">
        <f ca="1" t="shared" si="46"/>
        <v>0</v>
      </c>
      <c r="F122">
        <f ca="1" t="shared" si="47"/>
        <v>0</v>
      </c>
      <c r="G122">
        <f ca="1" t="shared" si="48"/>
        <v>20</v>
      </c>
      <c r="H122">
        <f ca="1" t="shared" si="52"/>
        <v>0</v>
      </c>
      <c r="I122">
        <f ca="1" t="shared" si="53"/>
        <v>0</v>
      </c>
      <c r="J122" s="394" t="s">
        <v>103</v>
      </c>
      <c r="K122" s="162" t="str">
        <f ca="1" t="shared" si="49"/>
        <v>13.0.20.</v>
      </c>
      <c r="L122" s="395" t="s">
        <v>234</v>
      </c>
      <c r="M122" s="395" t="s">
        <v>353</v>
      </c>
      <c r="N122" s="398" t="s">
        <v>438</v>
      </c>
      <c r="O122" s="399" t="s">
        <v>447</v>
      </c>
      <c r="P122" s="225">
        <f ca="1">OFFSET(PLQ!$E$12,ROW($P122)-ROW(P$12),0)</f>
        <v>350</v>
      </c>
      <c r="Q122" s="229"/>
      <c r="R122" s="232" t="s">
        <v>7</v>
      </c>
      <c r="S122" s="121">
        <f t="shared" si="39"/>
        <v>0</v>
      </c>
      <c r="T122" s="98">
        <f ca="1" t="shared" si="40"/>
        <v>0</v>
      </c>
      <c r="U122" s="13" t="str">
        <f ca="1" t="shared" si="50"/>
        <v>SEM VALOR</v>
      </c>
      <c r="V122" s="4" t="str">
        <f ca="1">IF(OR($A122=0,$A122="S",$A122&gt;CFF!$A$9),"",MAX(V$12:OFFSET(V122,-1,0))+1)</f>
        <v/>
      </c>
      <c r="W122" s="9" t="str">
        <f t="shared" si="51"/>
        <v>SINAPI-91870</v>
      </c>
      <c r="X122" s="4">
        <f ca="1" t="shared" si="41"/>
        <v>2788</v>
      </c>
      <c r="Y122" s="121">
        <v>16.73</v>
      </c>
      <c r="Z122" s="132">
        <f ca="1">ROUND(IF(ISNUMBER(R122),R122,IF(LEFT(R122,3)="BDI",HLOOKUP(R122,DADOS!$T$37:$X$38,2,FALSE),0)),15-11*$X$5)</f>
        <v>0.2034</v>
      </c>
      <c r="AA122" s="4"/>
    </row>
    <row r="123" spans="1:27" ht="12.75" customHeight="1">
      <c r="A123" t="str">
        <f t="shared" si="42"/>
        <v>S</v>
      </c>
      <c r="B123">
        <f t="shared" si="43"/>
        <v>0</v>
      </c>
      <c r="C123">
        <f ca="1" t="shared" si="44"/>
        <v>13</v>
      </c>
      <c r="D123">
        <f ca="1" t="shared" si="45"/>
        <v>0</v>
      </c>
      <c r="E123">
        <f ca="1" t="shared" si="46"/>
        <v>0</v>
      </c>
      <c r="F123">
        <f ca="1" t="shared" si="47"/>
        <v>0</v>
      </c>
      <c r="G123">
        <f ca="1" t="shared" si="48"/>
        <v>21</v>
      </c>
      <c r="H123">
        <f ca="1" t="shared" si="52"/>
        <v>0</v>
      </c>
      <c r="I123">
        <f ca="1" t="shared" si="53"/>
        <v>0</v>
      </c>
      <c r="J123" s="394" t="s">
        <v>103</v>
      </c>
      <c r="K123" s="162" t="str">
        <f ca="1" t="shared" si="49"/>
        <v>13.0.21.</v>
      </c>
      <c r="L123" s="395" t="s">
        <v>234</v>
      </c>
      <c r="M123" s="395" t="s">
        <v>356</v>
      </c>
      <c r="N123" s="398" t="s">
        <v>439</v>
      </c>
      <c r="O123" s="399" t="s">
        <v>450</v>
      </c>
      <c r="P123" s="225">
        <f ca="1">OFFSET(PLQ!$E$12,ROW($P123)-ROW(P$12),0)</f>
        <v>28</v>
      </c>
      <c r="Q123" s="229"/>
      <c r="R123" s="232" t="s">
        <v>7</v>
      </c>
      <c r="S123" s="121">
        <f t="shared" si="39"/>
        <v>0</v>
      </c>
      <c r="T123" s="98">
        <f ca="1" t="shared" si="40"/>
        <v>0</v>
      </c>
      <c r="U123" s="13" t="str">
        <f ca="1" t="shared" si="50"/>
        <v>SEM VALOR</v>
      </c>
      <c r="V123" s="4" t="str">
        <f ca="1">IF(OR($A123=0,$A123="S",$A123&gt;CFF!$A$9),"",MAX(V$12:OFFSET(V123,-1,0))+1)</f>
        <v/>
      </c>
      <c r="W123" s="9" t="str">
        <f t="shared" si="51"/>
        <v>SINAPI-91899</v>
      </c>
      <c r="X123" s="4">
        <f ca="1" t="shared" si="41"/>
        <v>2824</v>
      </c>
      <c r="Y123" s="121">
        <v>12.15</v>
      </c>
      <c r="Z123" s="132">
        <f ca="1">ROUND(IF(ISNUMBER(R123),R123,IF(LEFT(R123,3)="BDI",HLOOKUP(R123,DADOS!$T$37:$X$38,2,FALSE),0)),15-11*$X$5)</f>
        <v>0.2034</v>
      </c>
      <c r="AA123" s="4"/>
    </row>
    <row r="124" spans="1:27" ht="12.75" customHeight="1">
      <c r="A124" t="str">
        <f t="shared" si="42"/>
        <v>S</v>
      </c>
      <c r="B124">
        <f t="shared" si="43"/>
        <v>0</v>
      </c>
      <c r="C124">
        <f ca="1" t="shared" si="44"/>
        <v>13</v>
      </c>
      <c r="D124">
        <f ca="1" t="shared" si="45"/>
        <v>0</v>
      </c>
      <c r="E124">
        <f ca="1" t="shared" si="46"/>
        <v>0</v>
      </c>
      <c r="F124">
        <f ca="1" t="shared" si="47"/>
        <v>0</v>
      </c>
      <c r="G124">
        <f ca="1" t="shared" si="48"/>
        <v>22</v>
      </c>
      <c r="H124">
        <f ca="1" t="shared" si="52"/>
        <v>0</v>
      </c>
      <c r="I124">
        <f ca="1" t="shared" si="53"/>
        <v>0</v>
      </c>
      <c r="J124" s="394" t="s">
        <v>103</v>
      </c>
      <c r="K124" s="162" t="str">
        <f ca="1" t="shared" si="49"/>
        <v>13.0.22.</v>
      </c>
      <c r="L124" s="395" t="s">
        <v>234</v>
      </c>
      <c r="M124" s="395" t="s">
        <v>354</v>
      </c>
      <c r="N124" s="398" t="s">
        <v>440</v>
      </c>
      <c r="O124" s="399" t="s">
        <v>450</v>
      </c>
      <c r="P124" s="225">
        <f ca="1">OFFSET(PLQ!$E$12,ROW($P124)-ROW(P$12),0)</f>
        <v>4</v>
      </c>
      <c r="Q124" s="229"/>
      <c r="R124" s="232" t="s">
        <v>7</v>
      </c>
      <c r="S124" s="121">
        <f t="shared" si="39"/>
        <v>0</v>
      </c>
      <c r="T124" s="98">
        <f ca="1" t="shared" si="40"/>
        <v>0</v>
      </c>
      <c r="U124" s="13" t="str">
        <f ca="1" t="shared" si="50"/>
        <v>SEM VALOR</v>
      </c>
      <c r="V124" s="4" t="str">
        <f ca="1">IF(OR($A124=0,$A124="S",$A124&gt;CFF!$A$9),"",MAX(V$12:OFFSET(V124,-1,0))+1)</f>
        <v/>
      </c>
      <c r="W124" s="9" t="str">
        <f t="shared" si="51"/>
        <v>SINAPI-95813</v>
      </c>
      <c r="X124" s="4">
        <f ca="1" t="shared" si="41"/>
        <v>2927</v>
      </c>
      <c r="Y124" s="121">
        <v>22.46</v>
      </c>
      <c r="Z124" s="132">
        <f ca="1">ROUND(IF(ISNUMBER(R124),R124,IF(LEFT(R124,3)="BDI",HLOOKUP(R124,DADOS!$T$37:$X$38,2,FALSE),0)),15-11*$X$5)</f>
        <v>0.2034</v>
      </c>
      <c r="AA124" s="4"/>
    </row>
    <row r="125" spans="1:27" ht="12.75" customHeight="1">
      <c r="A125" t="str">
        <f t="shared" si="42"/>
        <v>S</v>
      </c>
      <c r="B125">
        <f t="shared" si="43"/>
        <v>0</v>
      </c>
      <c r="C125">
        <f ca="1" t="shared" si="44"/>
        <v>13</v>
      </c>
      <c r="D125">
        <f ca="1" t="shared" si="45"/>
        <v>0</v>
      </c>
      <c r="E125">
        <f ca="1" t="shared" si="46"/>
        <v>0</v>
      </c>
      <c r="F125">
        <f ca="1" t="shared" si="47"/>
        <v>0</v>
      </c>
      <c r="G125">
        <f ca="1" t="shared" si="48"/>
        <v>23</v>
      </c>
      <c r="H125">
        <f ca="1" t="shared" si="52"/>
        <v>0</v>
      </c>
      <c r="I125">
        <f ca="1" t="shared" si="53"/>
        <v>0</v>
      </c>
      <c r="J125" s="394" t="s">
        <v>103</v>
      </c>
      <c r="K125" s="162" t="str">
        <f ca="1" t="shared" si="49"/>
        <v>13.0.23.</v>
      </c>
      <c r="L125" s="395" t="s">
        <v>234</v>
      </c>
      <c r="M125" s="395" t="s">
        <v>355</v>
      </c>
      <c r="N125" s="398" t="s">
        <v>441</v>
      </c>
      <c r="O125" s="399" t="s">
        <v>450</v>
      </c>
      <c r="P125" s="225">
        <f ca="1">OFFSET(PLQ!$E$12,ROW($P125)-ROW(P$12),0)</f>
        <v>4</v>
      </c>
      <c r="Q125" s="229"/>
      <c r="R125" s="232" t="s">
        <v>7</v>
      </c>
      <c r="S125" s="121">
        <f t="shared" si="39"/>
        <v>0</v>
      </c>
      <c r="T125" s="98">
        <f ca="1" t="shared" si="40"/>
        <v>0</v>
      </c>
      <c r="U125" s="13" t="str">
        <f ca="1" t="shared" si="50"/>
        <v>SEM VALOR</v>
      </c>
      <c r="V125" s="4" t="str">
        <f ca="1">IF(OR($A125=0,$A125="S",$A125&gt;CFF!$A$9),"",MAX(V$12:OFFSET(V125,-1,0))+1)</f>
        <v/>
      </c>
      <c r="W125" s="9" t="str">
        <f t="shared" si="51"/>
        <v>SINAPI-95816</v>
      </c>
      <c r="X125" s="4">
        <f ca="1" t="shared" si="41"/>
        <v>2930</v>
      </c>
      <c r="Y125" s="121">
        <v>38.8</v>
      </c>
      <c r="Z125" s="132">
        <f ca="1">ROUND(IF(ISNUMBER(R125),R125,IF(LEFT(R125,3)="BDI",HLOOKUP(R125,DADOS!$T$37:$X$38,2,FALSE),0)),15-11*$X$5)</f>
        <v>0.2034</v>
      </c>
      <c r="AA125" s="4"/>
    </row>
    <row r="126" spans="1:27" ht="12.75" customHeight="1">
      <c r="A126" t="str">
        <f t="shared" si="42"/>
        <v>S</v>
      </c>
      <c r="B126">
        <f t="shared" si="43"/>
        <v>0</v>
      </c>
      <c r="C126">
        <f ca="1" t="shared" si="44"/>
        <v>13</v>
      </c>
      <c r="D126">
        <f ca="1" t="shared" si="45"/>
        <v>0</v>
      </c>
      <c r="E126">
        <f ca="1" t="shared" si="46"/>
        <v>0</v>
      </c>
      <c r="F126">
        <f ca="1" t="shared" si="47"/>
        <v>0</v>
      </c>
      <c r="G126">
        <f ca="1" t="shared" si="48"/>
        <v>24</v>
      </c>
      <c r="H126">
        <f ca="1" t="shared" si="52"/>
        <v>0</v>
      </c>
      <c r="I126">
        <f ca="1" t="shared" si="53"/>
        <v>0</v>
      </c>
      <c r="J126" s="394" t="s">
        <v>103</v>
      </c>
      <c r="K126" s="162" t="str">
        <f ca="1" t="shared" si="49"/>
        <v>13.0.24.</v>
      </c>
      <c r="L126" s="395" t="s">
        <v>234</v>
      </c>
      <c r="M126" s="395" t="s">
        <v>357</v>
      </c>
      <c r="N126" s="398" t="s">
        <v>442</v>
      </c>
      <c r="O126" s="399" t="s">
        <v>450</v>
      </c>
      <c r="P126" s="225">
        <f ca="1">OFFSET(PLQ!$E$12,ROW($P126)-ROW(P$12),0)</f>
        <v>1</v>
      </c>
      <c r="Q126" s="229"/>
      <c r="R126" s="232" t="s">
        <v>7</v>
      </c>
      <c r="S126" s="121">
        <f t="shared" si="39"/>
        <v>0</v>
      </c>
      <c r="T126" s="98">
        <f ca="1" t="shared" si="40"/>
        <v>0</v>
      </c>
      <c r="U126" s="13" t="str">
        <f ca="1" t="shared" si="50"/>
        <v>SEM VALOR</v>
      </c>
      <c r="V126" s="4" t="str">
        <f ca="1">IF(OR($A126=0,$A126="S",$A126&gt;CFF!$A$9),"",MAX(V$12:OFFSET(V126,-1,0))+1)</f>
        <v/>
      </c>
      <c r="W126" s="9" t="str">
        <f t="shared" si="51"/>
        <v>SINAPI-101875</v>
      </c>
      <c r="X126" s="4">
        <f ca="1" t="shared" si="41"/>
        <v>2982</v>
      </c>
      <c r="Y126" s="121">
        <v>503.39</v>
      </c>
      <c r="Z126" s="132">
        <f ca="1">ROUND(IF(ISNUMBER(R126),R126,IF(LEFT(R126,3)="BDI",HLOOKUP(R126,DADOS!$T$37:$X$38,2,FALSE),0)),15-11*$X$5)</f>
        <v>0.2034</v>
      </c>
      <c r="AA126" s="4"/>
    </row>
    <row r="127" spans="1:27" ht="12.75" customHeight="1">
      <c r="A127">
        <f aca="true" t="shared" si="54" ref="A127:A129">CHOOSE(1+LOG(1+2*(J127="Meta")+4*(J127="Nível 2")+8*(J127="Nível 3")+16*(J127="Nível 4")+32*(J127="Serviço"),2),0,1,2,3,4,"S")</f>
        <v>1</v>
      </c>
      <c r="B127">
        <f aca="true" t="shared" si="55" ref="B127:B129">IF(OR(A127="S",A127=0),0,IF(ISERROR(I127),H127,SMALL(H127:I127,1)))</f>
        <v>3</v>
      </c>
      <c r="C127">
        <f aca="true" ca="1" t="shared" si="56" ref="C127:C129">IF($A127=1,OFFSET(C127,-1,0)+1,OFFSET(C127,-1,0))</f>
        <v>14</v>
      </c>
      <c r="D127">
        <f aca="true" ca="1" t="shared" si="57" ref="D127:D129">IF($A127=1,0,IF($A127=2,OFFSET(D127,-1,0)+1,OFFSET(D127,-1,0)))</f>
        <v>0</v>
      </c>
      <c r="E127">
        <f aca="true" ca="1" t="shared" si="58" ref="E127:E129">IF(AND($A127&lt;=2,$A127&lt;&gt;0),0,IF($A127=3,OFFSET(E127,-1,0)+1,OFFSET(E127,-1,0)))</f>
        <v>0</v>
      </c>
      <c r="F127">
        <f aca="true" ca="1" t="shared" si="59" ref="F127:F129">IF(AND($A127&lt;=3,$A127&lt;&gt;0),0,IF($A127=4,OFFSET(F127,-1,0)+1,OFFSET(F127,-1,0)))</f>
        <v>0</v>
      </c>
      <c r="G127">
        <f aca="true" ca="1" t="shared" si="60" ref="G127:G129">IF(AND($A127&lt;=4,$A127&lt;&gt;0),0,IF($A127="S",OFFSET(G127,-1,0)+1,OFFSET(G127,-1,0)))</f>
        <v>0</v>
      </c>
      <c r="H127">
        <f ca="1" t="shared" si="52"/>
        <v>7</v>
      </c>
      <c r="I127">
        <f ca="1" t="shared" si="53"/>
        <v>3</v>
      </c>
      <c r="J127" s="394" t="s">
        <v>99</v>
      </c>
      <c r="K127" s="162" t="str">
        <f aca="true" t="shared" si="61" ref="K127:K129">IF($A127=0,"-",CONCATENATE(C127&amp;".",IF(AND($A$5&gt;=2,$A127&gt;=2),D127&amp;".",""),IF(AND($A$5&gt;=3,$A127&gt;=3),E127&amp;".",""),IF(AND($A$5&gt;=4,$A127&gt;=4),F127&amp;".",""),IF($A127="S",G127&amp;".","")))</f>
        <v>14.</v>
      </c>
      <c r="L127" s="395"/>
      <c r="M127" s="395"/>
      <c r="N127" s="398" t="s">
        <v>242</v>
      </c>
      <c r="O127" s="399" t="s">
        <v>106</v>
      </c>
      <c r="P127" s="225">
        <f ca="1">OFFSET(PLQ!$E$12,ROW($P127)-ROW(P$12),0)</f>
        <v>0</v>
      </c>
      <c r="Q127" s="229"/>
      <c r="R127" s="232" t="s">
        <v>7</v>
      </c>
      <c r="S127" s="121">
        <f aca="true" t="shared" si="62" ref="S127:S129">IF($A127="S",IF($Q$10="Preço Unitário (R$)",PO.CustoUnitario,ROUND(PO.CustoUnitario*(1+$Z127),15-13*$X$6)),0)</f>
        <v>0</v>
      </c>
      <c r="T127" s="98">
        <f aca="true" ca="1" t="shared" si="63" ref="T127:T129">IF($A127="S",VTOTAL1,IF($A127=0,0,ROUND(SomaAgrup,15-13*$X$7)))</f>
        <v>0</v>
      </c>
      <c r="U127" s="13" t="str">
        <f aca="true" t="shared" si="64" ref="U127:U129">IF($J127="","",IF($N127="","DESCRIÇÃO",IF(AND($J127="Serviço",$O127=""),"UNIDADE",IF($T127&lt;=0,"SEM VALOR",IF(AND($Y127&lt;&gt;"",$Q127&gt;$Y127),"ACIMA REF.","")))))</f>
        <v>SEM VALOR</v>
      </c>
      <c r="V127" s="4">
        <f ca="1">IF(OR($A127=0,$A127="S",$A127&gt;CFF!$A$9),"",MAX(V$12:OFFSET(V127,-1,0))+1)</f>
        <v>20</v>
      </c>
      <c r="W127" s="9" t="b">
        <f aca="true" t="shared" si="65" ref="W127:W129">IF(AND($J127="Serviço",$M127&lt;&gt;""),IF($L127="",$M127,CONCATENATE($L127,"-",$M127)))</f>
        <v>0</v>
      </c>
      <c r="X127" s="4" t="str">
        <f aca="true" t="shared" si="66" ref="X127:X129">IF(AND(Fonte&lt;&gt;"",Código&lt;&gt;""),MATCH(Fonte&amp;" "&amp;IF(Fonte="sinapi",SUBSTITUTE(SUBSTITUTE(Código,"/00","/"),"/0","/"),Código),INDIRECT("'[Referência "&amp;_XLNM.DATABASE&amp;".xls]Banco'!$a:$a"),0),"X")</f>
        <v>X</v>
      </c>
      <c r="Y127" s="121">
        <v>0</v>
      </c>
      <c r="Z127" s="132">
        <f ca="1">ROUND(IF(ISNUMBER(R127),R127,IF(LEFT(R127,3)="BDI",HLOOKUP(R127,DADOS!$T$37:$X$38,2,FALSE),0)),15-11*$X$5)</f>
        <v>0.2034</v>
      </c>
      <c r="AA127" s="4"/>
    </row>
    <row r="128" spans="1:27" ht="12.75" customHeight="1">
      <c r="A128">
        <f t="shared" si="54"/>
        <v>2</v>
      </c>
      <c r="B128">
        <f ca="1" t="shared" si="55"/>
        <v>2</v>
      </c>
      <c r="C128">
        <f ca="1" t="shared" si="56"/>
        <v>14</v>
      </c>
      <c r="D128">
        <f ca="1" t="shared" si="57"/>
        <v>1</v>
      </c>
      <c r="E128">
        <f ca="1" t="shared" si="58"/>
        <v>0</v>
      </c>
      <c r="F128">
        <f ca="1" t="shared" si="59"/>
        <v>0</v>
      </c>
      <c r="G128">
        <f ca="1" t="shared" si="60"/>
        <v>0</v>
      </c>
      <c r="H128">
        <f ca="1" t="shared" si="52"/>
        <v>2</v>
      </c>
      <c r="I128" t="e">
        <f ca="1" t="shared" si="53"/>
        <v>#N/A</v>
      </c>
      <c r="J128" s="394" t="s">
        <v>100</v>
      </c>
      <c r="K128" s="162" t="str">
        <f ca="1" t="shared" si="61"/>
        <v>14.1.</v>
      </c>
      <c r="L128" s="395"/>
      <c r="M128" s="395"/>
      <c r="N128" s="398" t="s">
        <v>336</v>
      </c>
      <c r="O128" s="399" t="s">
        <v>106</v>
      </c>
      <c r="P128" s="225">
        <f ca="1">OFFSET(PLQ!$E$12,ROW($P128)-ROW(P$12),0)</f>
        <v>0</v>
      </c>
      <c r="Q128" s="229"/>
      <c r="R128" s="232" t="s">
        <v>7</v>
      </c>
      <c r="S128" s="121">
        <f t="shared" si="62"/>
        <v>0</v>
      </c>
      <c r="T128" s="98">
        <f ca="1" t="shared" si="63"/>
        <v>0</v>
      </c>
      <c r="U128" s="13" t="str">
        <f ca="1" t="shared" si="64"/>
        <v>SEM VALOR</v>
      </c>
      <c r="V128" s="4">
        <f ca="1">IF(OR($A128=0,$A128="S",$A128&gt;CFF!$A$9),"",MAX(V$12:OFFSET(V128,-1,0))+1)</f>
        <v>21</v>
      </c>
      <c r="W128" s="9" t="b">
        <f t="shared" si="65"/>
        <v>0</v>
      </c>
      <c r="X128" s="4" t="str">
        <f ca="1" t="shared" si="66"/>
        <v>X</v>
      </c>
      <c r="Y128" s="121">
        <v>0</v>
      </c>
      <c r="Z128" s="132">
        <f ca="1">ROUND(IF(ISNUMBER(R128),R128,IF(LEFT(R128,3)="BDI",HLOOKUP(R128,DADOS!$T$37:$X$38,2,FALSE),0)),15-11*$X$5)</f>
        <v>0.2034</v>
      </c>
      <c r="AA128" s="4"/>
    </row>
    <row r="129" spans="1:27" ht="12.75" customHeight="1">
      <c r="A129" t="str">
        <f t="shared" si="54"/>
        <v>S</v>
      </c>
      <c r="B129">
        <f t="shared" si="55"/>
        <v>0</v>
      </c>
      <c r="C129">
        <f ca="1" t="shared" si="56"/>
        <v>14</v>
      </c>
      <c r="D129">
        <f ca="1" t="shared" si="57"/>
        <v>1</v>
      </c>
      <c r="E129">
        <f ca="1" t="shared" si="58"/>
        <v>0</v>
      </c>
      <c r="F129">
        <f ca="1" t="shared" si="59"/>
        <v>0</v>
      </c>
      <c r="G129">
        <f ca="1" t="shared" si="60"/>
        <v>1</v>
      </c>
      <c r="H129">
        <f ca="1" t="shared" si="52"/>
        <v>0</v>
      </c>
      <c r="I129">
        <f ca="1" t="shared" si="53"/>
        <v>0</v>
      </c>
      <c r="J129" s="394" t="s">
        <v>103</v>
      </c>
      <c r="K129" s="162" t="str">
        <f ca="1" t="shared" si="61"/>
        <v>14.1.1.</v>
      </c>
      <c r="L129" s="395" t="s">
        <v>234</v>
      </c>
      <c r="M129" s="395" t="s">
        <v>335</v>
      </c>
      <c r="N129" s="398" t="s">
        <v>443</v>
      </c>
      <c r="O129" s="399" t="s">
        <v>248</v>
      </c>
      <c r="P129" s="225">
        <f ca="1">OFFSET(PLQ!$E$12,ROW($P129)-ROW(P$12),0)</f>
        <v>300</v>
      </c>
      <c r="Q129" s="229"/>
      <c r="R129" s="232" t="s">
        <v>7</v>
      </c>
      <c r="S129" s="121">
        <f t="shared" si="62"/>
        <v>0</v>
      </c>
      <c r="T129" s="98">
        <f ca="1" t="shared" si="63"/>
        <v>0</v>
      </c>
      <c r="U129" s="13" t="str">
        <f ca="1" t="shared" si="64"/>
        <v>SEM VALOR</v>
      </c>
      <c r="V129" s="4" t="str">
        <f ca="1">IF(OR($A129=0,$A129="S",$A129&gt;CFF!$A$9),"",MAX(V$12:OFFSET(V129,-1,0))+1)</f>
        <v/>
      </c>
      <c r="W129" s="9" t="str">
        <f t="shared" si="65"/>
        <v>SINAPI-102215</v>
      </c>
      <c r="X129" s="4">
        <f ca="1" t="shared" si="66"/>
        <v>6084</v>
      </c>
      <c r="Y129" s="121">
        <v>22.48</v>
      </c>
      <c r="Z129" s="132">
        <f ca="1">ROUND(IF(ISNUMBER(R129),R129,IF(LEFT(R129,3)="BDI",HLOOKUP(R129,DADOS!$T$37:$X$38,2,FALSE),0)),15-11*$X$5)</f>
        <v>0.2034</v>
      </c>
      <c r="AA129" s="4"/>
    </row>
    <row r="130" spans="1:27" ht="12.75" customHeight="1">
      <c r="A130">
        <f aca="true" t="shared" si="67" ref="A130:A132">CHOOSE(1+LOG(1+2*(J130="Meta")+4*(J130="Nível 2")+8*(J130="Nível 3")+16*(J130="Nível 4")+32*(J130="Serviço"),2),0,1,2,3,4,"S")</f>
        <v>1</v>
      </c>
      <c r="B130">
        <f aca="true" t="shared" si="68" ref="B130:B132">IF(OR(A130="S",A130=0),0,IF(ISERROR(I130),H130,SMALL(H130:I130,1)))</f>
        <v>4</v>
      </c>
      <c r="C130">
        <f aca="true" ca="1" t="shared" si="69" ref="C130:C132">IF($A130=1,OFFSET(C130,-1,0)+1,OFFSET(C130,-1,0))</f>
        <v>15</v>
      </c>
      <c r="D130">
        <f aca="true" ca="1" t="shared" si="70" ref="D130:D132">IF($A130=1,0,IF($A130=2,OFFSET(D130,-1,0)+1,OFFSET(D130,-1,0)))</f>
        <v>0</v>
      </c>
      <c r="E130">
        <f aca="true" ca="1" t="shared" si="71" ref="E130:E132">IF(AND($A130&lt;=2,$A130&lt;&gt;0),0,IF($A130=3,OFFSET(E130,-1,0)+1,OFFSET(E130,-1,0)))</f>
        <v>0</v>
      </c>
      <c r="F130">
        <f aca="true" ca="1" t="shared" si="72" ref="F130:F132">IF(AND($A130&lt;=3,$A130&lt;&gt;0),0,IF($A130=4,OFFSET(F130,-1,0)+1,OFFSET(F130,-1,0)))</f>
        <v>0</v>
      </c>
      <c r="G130">
        <f aca="true" ca="1" t="shared" si="73" ref="G130:G132">IF(AND($A130&lt;=4,$A130&lt;&gt;0),0,IF($A130="S",OFFSET(G130,-1,0)+1,OFFSET(G130,-1,0)))</f>
        <v>0</v>
      </c>
      <c r="H130">
        <f ca="1" t="shared" si="52"/>
        <v>4</v>
      </c>
      <c r="I130" t="e">
        <f ca="1" t="shared" si="53"/>
        <v>#N/A</v>
      </c>
      <c r="J130" s="394" t="s">
        <v>99</v>
      </c>
      <c r="K130" s="162" t="str">
        <f aca="true" t="shared" si="74" ref="K130:K132">IF($A130=0,"-",CONCATENATE(C130&amp;".",IF(AND($A$5&gt;=2,$A130&gt;=2),D130&amp;".",""),IF(AND($A$5&gt;=3,$A130&gt;=3),E130&amp;".",""),IF(AND($A$5&gt;=4,$A130&gt;=4),F130&amp;".",""),IF($A130="S",G130&amp;".","")))</f>
        <v>15.</v>
      </c>
      <c r="L130" s="395"/>
      <c r="M130" s="395"/>
      <c r="N130" s="398" t="s">
        <v>321</v>
      </c>
      <c r="O130" s="399" t="s">
        <v>106</v>
      </c>
      <c r="P130" s="225">
        <f ca="1">OFFSET(PLQ!$E$12,ROW($P130)-ROW(P$12),0)</f>
        <v>0</v>
      </c>
      <c r="Q130" s="229"/>
      <c r="R130" s="232" t="s">
        <v>7</v>
      </c>
      <c r="S130" s="121">
        <f aca="true" t="shared" si="75" ref="S130:S132">IF($A130="S",IF($Q$10="Preço Unitário (R$)",PO.CustoUnitario,ROUND(PO.CustoUnitario*(1+$Z130),15-13*$X$6)),0)</f>
        <v>0</v>
      </c>
      <c r="T130" s="98">
        <f aca="true" ca="1" t="shared" si="76" ref="T130:T132">IF($A130="S",VTOTAL1,IF($A130=0,0,ROUND(SomaAgrup,15-13*$X$7)))</f>
        <v>0</v>
      </c>
      <c r="U130" s="13" t="str">
        <f aca="true" t="shared" si="77" ref="U130:U132">IF($J130="","",IF($N130="","DESCRIÇÃO",IF(AND($J130="Serviço",$O130=""),"UNIDADE",IF($T130&lt;=0,"SEM VALOR",IF(AND($Y130&lt;&gt;"",$Q130&gt;$Y130),"ACIMA REF.","")))))</f>
        <v>SEM VALOR</v>
      </c>
      <c r="V130" s="4">
        <f ca="1">IF(OR($A130=0,$A130="S",$A130&gt;CFF!$A$9),"",MAX(V$12:OFFSET(V130,-1,0))+1)</f>
        <v>22</v>
      </c>
      <c r="W130" s="9" t="b">
        <f aca="true" t="shared" si="78" ref="W130:W132">IF(AND($J130="Serviço",$M130&lt;&gt;""),IF($L130="",$M130,CONCATENATE($L130,"-",$M130)))</f>
        <v>0</v>
      </c>
      <c r="X130" s="4" t="str">
        <f aca="true" t="shared" si="79" ref="X130:X132">IF(AND(Fonte&lt;&gt;"",Código&lt;&gt;""),MATCH(Fonte&amp;" "&amp;IF(Fonte="sinapi",SUBSTITUTE(SUBSTITUTE(Código,"/00","/"),"/0","/"),Código),INDIRECT("'[Referência "&amp;_XLNM.DATABASE&amp;".xls]Banco'!$a:$a"),0),"X")</f>
        <v>X</v>
      </c>
      <c r="Y130" s="121">
        <v>0</v>
      </c>
      <c r="Z130" s="132">
        <f ca="1">ROUND(IF(ISNUMBER(R130),R130,IF(LEFT(R130,3)="BDI",HLOOKUP(R130,DADOS!$T$37:$X$38,2,FALSE),0)),15-11*$X$5)</f>
        <v>0.2034</v>
      </c>
      <c r="AA130" s="4"/>
    </row>
    <row r="131" spans="1:27" ht="12.75" customHeight="1">
      <c r="A131" t="str">
        <f t="shared" si="67"/>
        <v>S</v>
      </c>
      <c r="B131">
        <f t="shared" si="68"/>
        <v>0</v>
      </c>
      <c r="C131">
        <f ca="1" t="shared" si="69"/>
        <v>15</v>
      </c>
      <c r="D131">
        <f ca="1" t="shared" si="70"/>
        <v>0</v>
      </c>
      <c r="E131">
        <f ca="1" t="shared" si="71"/>
        <v>0</v>
      </c>
      <c r="F131">
        <f ca="1" t="shared" si="72"/>
        <v>0</v>
      </c>
      <c r="G131">
        <f ca="1" t="shared" si="73"/>
        <v>1</v>
      </c>
      <c r="H131">
        <f ca="1" t="shared" si="52"/>
        <v>0</v>
      </c>
      <c r="I131">
        <f ca="1" t="shared" si="53"/>
        <v>0</v>
      </c>
      <c r="J131" s="394" t="s">
        <v>103</v>
      </c>
      <c r="K131" s="162" t="str">
        <f ca="1" t="shared" si="74"/>
        <v>15.0.1.</v>
      </c>
      <c r="L131" s="395" t="s">
        <v>239</v>
      </c>
      <c r="M131" s="395" t="s">
        <v>244</v>
      </c>
      <c r="N131" s="398" t="s">
        <v>444</v>
      </c>
      <c r="O131" s="399" t="s">
        <v>247</v>
      </c>
      <c r="P131" s="225">
        <f ca="1">OFFSET(PLQ!$E$12,ROW($P131)-ROW(P$12),0)</f>
        <v>25.2</v>
      </c>
      <c r="Q131" s="229"/>
      <c r="R131" s="232" t="s">
        <v>7</v>
      </c>
      <c r="S131" s="121">
        <f t="shared" si="75"/>
        <v>0</v>
      </c>
      <c r="T131" s="98">
        <f ca="1" t="shared" si="76"/>
        <v>0</v>
      </c>
      <c r="U131" s="13" t="str">
        <f ca="1" t="shared" si="77"/>
        <v>SEM VALOR</v>
      </c>
      <c r="V131" s="4" t="str">
        <f ca="1">IF(OR($A131=0,$A131="S",$A131&gt;CFF!$A$9),"",MAX(V$12:OFFSET(V131,-1,0))+1)</f>
        <v/>
      </c>
      <c r="W131" s="9" t="str">
        <f t="shared" si="78"/>
        <v>SINAPI-I-4914</v>
      </c>
      <c r="X131" s="4">
        <f ca="1" t="shared" si="79"/>
        <v>11051</v>
      </c>
      <c r="Y131" s="121">
        <v>1068.39</v>
      </c>
      <c r="Z131" s="132">
        <f ca="1">ROUND(IF(ISNUMBER(R131),R131,IF(LEFT(R131,3)="BDI",HLOOKUP(R131,DADOS!$T$37:$X$38,2,FALSE),0)),15-11*$X$5)</f>
        <v>0.2034</v>
      </c>
      <c r="AA131" s="4"/>
    </row>
    <row r="132" spans="1:27" ht="12.75" customHeight="1">
      <c r="A132" t="str">
        <f t="shared" si="67"/>
        <v>S</v>
      </c>
      <c r="B132">
        <f t="shared" si="68"/>
        <v>0</v>
      </c>
      <c r="C132">
        <f ca="1" t="shared" si="69"/>
        <v>15</v>
      </c>
      <c r="D132">
        <f ca="1" t="shared" si="70"/>
        <v>0</v>
      </c>
      <c r="E132">
        <f ca="1" t="shared" si="71"/>
        <v>0</v>
      </c>
      <c r="F132">
        <f ca="1" t="shared" si="72"/>
        <v>0</v>
      </c>
      <c r="G132">
        <f ca="1" t="shared" si="73"/>
        <v>2</v>
      </c>
      <c r="H132">
        <f ca="1" t="shared" si="52"/>
        <v>0</v>
      </c>
      <c r="I132">
        <f ca="1" t="shared" si="53"/>
        <v>0</v>
      </c>
      <c r="J132" s="394" t="s">
        <v>103</v>
      </c>
      <c r="K132" s="162" t="str">
        <f ca="1" t="shared" si="74"/>
        <v>15.0.2.</v>
      </c>
      <c r="L132" s="395" t="s">
        <v>234</v>
      </c>
      <c r="M132" s="395" t="s">
        <v>334</v>
      </c>
      <c r="N132" s="398" t="s">
        <v>445</v>
      </c>
      <c r="O132" s="399" t="s">
        <v>248</v>
      </c>
      <c r="P132" s="225">
        <f ca="1">OFFSET(PLQ!$E$12,ROW($P132)-ROW(P$12),0)</f>
        <v>18.72</v>
      </c>
      <c r="Q132" s="229"/>
      <c r="R132" s="232" t="s">
        <v>7</v>
      </c>
      <c r="S132" s="121">
        <f t="shared" si="75"/>
        <v>0</v>
      </c>
      <c r="T132" s="98">
        <f ca="1" t="shared" si="76"/>
        <v>0</v>
      </c>
      <c r="U132" s="13" t="str">
        <f ca="1" t="shared" si="77"/>
        <v>SEM VALOR</v>
      </c>
      <c r="V132" s="4" t="str">
        <f ca="1">IF(OR($A132=0,$A132="S",$A132&gt;CFF!$A$9),"",MAX(V$12:OFFSET(V132,-1,0))+1)</f>
        <v/>
      </c>
      <c r="W132" s="9" t="str">
        <f t="shared" si="78"/>
        <v>SINAPI-94573</v>
      </c>
      <c r="X132" s="4">
        <f ca="1" t="shared" si="79"/>
        <v>2140</v>
      </c>
      <c r="Y132" s="121">
        <v>561.18</v>
      </c>
      <c r="Z132" s="132">
        <f ca="1">ROUND(IF(ISNUMBER(R132),R132,IF(LEFT(R132,3)="BDI",HLOOKUP(R132,DADOS!$T$37:$X$38,2,FALSE),0)),15-11*$X$5)</f>
        <v>0.2034</v>
      </c>
      <c r="AA132" s="4"/>
    </row>
    <row r="133" spans="1:27" ht="12.75" customHeight="1">
      <c r="A133" t="str">
        <f>CHOOSE(1+LOG(1+2*(J133="Meta")+4*(J133="Nível 2")+8*(J133="Nível 3")+16*(J133="Nível 4")+32*(J133="Serviço"),2),0,1,2,3,4,"S")</f>
        <v>S</v>
      </c>
      <c r="B133">
        <f>IF(OR(A133="S",A133=0),0,IF(ISERROR(I133),H133,SMALL(H133:I133,1)))</f>
        <v>0</v>
      </c>
      <c r="C133">
        <f ca="1">IF($A133=1,OFFSET(C133,-1,0)+1,OFFSET(C133,-1,0))</f>
        <v>15</v>
      </c>
      <c r="D133">
        <f ca="1">IF($A133=1,0,IF($A133=2,OFFSET(D133,-1,0)+1,OFFSET(D133,-1,0)))</f>
        <v>0</v>
      </c>
      <c r="E133">
        <f ca="1">IF(AND($A133&lt;=2,$A133&lt;&gt;0),0,IF($A133=3,OFFSET(E133,-1,0)+1,OFFSET(E133,-1,0)))</f>
        <v>0</v>
      </c>
      <c r="F133">
        <f ca="1">IF(AND($A133&lt;=3,$A133&lt;&gt;0),0,IF($A133=4,OFFSET(F133,-1,0)+1,OFFSET(F133,-1,0)))</f>
        <v>0</v>
      </c>
      <c r="G133">
        <f ca="1">IF(AND($A133&lt;=4,$A133&lt;&gt;0),0,IF($A133="S",OFFSET(G133,-1,0)+1,OFFSET(G133,-1,0)))</f>
        <v>3</v>
      </c>
      <c r="H133">
        <f ca="1" t="shared" si="52"/>
        <v>0</v>
      </c>
      <c r="I133">
        <f ca="1" t="shared" si="53"/>
        <v>0</v>
      </c>
      <c r="J133" s="394" t="s">
        <v>103</v>
      </c>
      <c r="K133" s="162" t="str">
        <f ca="1">IF($A133=0,"-",CONCATENATE(C133&amp;".",IF(AND($A$5&gt;=2,$A133&gt;=2),D133&amp;".",""),IF(AND($A$5&gt;=3,$A133&gt;=3),E133&amp;".",""),IF(AND($A$5&gt;=4,$A133&gt;=4),F133&amp;".",""),IF($A133="S",G133&amp;".","")))</f>
        <v>15.0.3.</v>
      </c>
      <c r="L133" s="395" t="s">
        <v>234</v>
      </c>
      <c r="M133" s="395" t="s">
        <v>350</v>
      </c>
      <c r="N133" s="398" t="s">
        <v>446</v>
      </c>
      <c r="O133" s="399" t="s">
        <v>248</v>
      </c>
      <c r="P133" s="225">
        <f ca="1">OFFSET(PLQ!$E$12,ROW($P133)-ROW(P$12),0)</f>
        <v>6.16</v>
      </c>
      <c r="Q133" s="229"/>
      <c r="R133" s="232" t="s">
        <v>7</v>
      </c>
      <c r="S133" s="121">
        <f>IF($A133="S",IF($Q$10="Preço Unitário (R$)",PO.CustoUnitario,ROUND(PO.CustoUnitario*(1+$Z133),15-13*$X$6)),0)</f>
        <v>0</v>
      </c>
      <c r="T133" s="98">
        <f ca="1">IF($A133="S",VTOTAL1,IF($A133=0,0,ROUND(SomaAgrup,15-13*$X$7)))</f>
        <v>0</v>
      </c>
      <c r="U133" s="13" t="str">
        <f ca="1">IF($J133="","",IF($N133="","DESCRIÇÃO",IF(AND($J133="Serviço",$O133=""),"UNIDADE",IF($T133&lt;=0,"SEM VALOR",IF(AND($Y133&lt;&gt;"",$Q133&gt;$Y133),"ACIMA REF.","")))))</f>
        <v>SEM VALOR</v>
      </c>
      <c r="V133" s="4" t="str">
        <f ca="1">IF(OR($A133=0,$A133="S",$A133&gt;CFF!$A$9),"",MAX(V$12:OFFSET(V133,-1,0))+1)</f>
        <v/>
      </c>
      <c r="W133" s="9" t="str">
        <f>IF(AND($J133="Serviço",$M133&lt;&gt;""),IF($L133="",$M133,CONCATENATE($L133,"-",$M133)))</f>
        <v>SINAPI-102179</v>
      </c>
      <c r="X133" s="4">
        <f ca="1">IF(AND(Fonte&lt;&gt;"",Código&lt;&gt;""),MATCH(Fonte&amp;" "&amp;IF(Fonte="sinapi",SUBSTITUTE(SUBSTITUTE(Código,"/00","/"),"/0","/"),Código),INDIRECT("'[Referência "&amp;_XLNM.DATABASE&amp;".xls]Banco'!$a:$a"),0),"X")</f>
        <v>2127</v>
      </c>
      <c r="Y133" s="121">
        <v>367.41</v>
      </c>
      <c r="Z133" s="132">
        <f ca="1">ROUND(IF(ISNUMBER(R133),R133,IF(LEFT(R133,3)="BDI",HLOOKUP(R133,DADOS!$T$37:$X$38,2,FALSE),0)),15-11*$X$5)</f>
        <v>0.2034</v>
      </c>
      <c r="AA133" s="4"/>
    </row>
    <row r="134" spans="1:27" ht="12.75">
      <c r="A134">
        <v>-1</v>
      </c>
      <c r="C134">
        <v>0</v>
      </c>
      <c r="D134">
        <v>0</v>
      </c>
      <c r="E134">
        <v>0</v>
      </c>
      <c r="F134">
        <v>0</v>
      </c>
      <c r="G134">
        <v>0</v>
      </c>
      <c r="J134" s="83"/>
      <c r="K134" s="83"/>
      <c r="L134" s="83"/>
      <c r="M134" s="83"/>
      <c r="N134" s="83"/>
      <c r="O134" s="83"/>
      <c r="P134" s="83"/>
      <c r="Q134" s="83"/>
      <c r="R134" s="83"/>
      <c r="S134" s="83"/>
      <c r="T134" s="83"/>
      <c r="U134" s="4"/>
      <c r="V134" s="4"/>
      <c r="W134" s="4"/>
      <c r="X134" s="4"/>
      <c r="Y134" s="4"/>
      <c r="Z134" s="4"/>
      <c r="AA134" s="4"/>
    </row>
    <row r="135" spans="1:27" ht="14.25">
      <c r="A135" s="4"/>
      <c r="B135" s="4"/>
      <c r="C135" s="4"/>
      <c r="D135" s="4"/>
      <c r="E135" s="4"/>
      <c r="F135" s="4"/>
      <c r="G135" s="4"/>
      <c r="H135" s="4"/>
      <c r="I135" s="4"/>
      <c r="J135" s="4"/>
      <c r="K135" s="84" t="s">
        <v>62</v>
      </c>
      <c r="L135" s="4"/>
      <c r="M135" s="366" t="s">
        <v>141</v>
      </c>
      <c r="N135" s="367"/>
      <c r="O135" s="367"/>
      <c r="P135" s="367"/>
      <c r="Q135" s="367"/>
      <c r="R135" s="367"/>
      <c r="S135" s="367"/>
      <c r="T135" s="368"/>
      <c r="U135" s="4"/>
      <c r="V135" s="4"/>
      <c r="W135" s="4"/>
      <c r="X135" s="4"/>
      <c r="Y135" s="4"/>
      <c r="Z135" s="4"/>
      <c r="AA135" s="4"/>
    </row>
    <row r="136" spans="1:27"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4.25">
      <c r="A137" s="4"/>
      <c r="B137" s="4"/>
      <c r="C137" s="4"/>
      <c r="D137" s="4"/>
      <c r="E137" s="4"/>
      <c r="F137" s="4"/>
      <c r="G137" s="4"/>
      <c r="H137" s="4"/>
      <c r="I137" s="4"/>
      <c r="J137" s="4"/>
      <c r="K137" s="90" t="s">
        <v>21</v>
      </c>
      <c r="L137" s="20"/>
      <c r="M137" s="20"/>
      <c r="N137" s="20"/>
      <c r="O137" s="20"/>
      <c r="P137" s="20"/>
      <c r="Q137" s="20"/>
      <c r="R137" s="20"/>
      <c r="S137" s="20"/>
      <c r="T137" s="89"/>
      <c r="U137" s="4"/>
      <c r="V137" s="4"/>
      <c r="W137" s="4"/>
      <c r="X137" s="4"/>
      <c r="Y137" s="4"/>
      <c r="Z137" s="4"/>
      <c r="AA137" s="4"/>
    </row>
    <row r="138" spans="1:27" ht="12.75" customHeight="1">
      <c r="A138" s="4"/>
      <c r="B138" s="4"/>
      <c r="C138" s="4"/>
      <c r="D138" s="4"/>
      <c r="E138" s="4"/>
      <c r="F138" s="4"/>
      <c r="G138" s="4"/>
      <c r="H138" s="4"/>
      <c r="I138" s="4"/>
      <c r="J138" s="4"/>
      <c r="K138" s="360"/>
      <c r="L138" s="361"/>
      <c r="M138" s="361"/>
      <c r="N138" s="361"/>
      <c r="O138" s="361"/>
      <c r="P138" s="361"/>
      <c r="Q138" s="361"/>
      <c r="R138" s="361"/>
      <c r="S138" s="361"/>
      <c r="T138" s="362"/>
      <c r="U138" s="4"/>
      <c r="V138" s="4"/>
      <c r="W138" s="4"/>
      <c r="X138" s="4"/>
      <c r="Y138" s="4"/>
      <c r="Z138" s="4"/>
      <c r="AA138" s="4"/>
    </row>
    <row r="139" spans="1:27" ht="12.75">
      <c r="A139" s="4"/>
      <c r="B139" s="4"/>
      <c r="C139" s="4"/>
      <c r="D139" s="4"/>
      <c r="E139" s="4"/>
      <c r="F139" s="4"/>
      <c r="G139" s="4"/>
      <c r="H139" s="4"/>
      <c r="I139" s="4"/>
      <c r="J139" s="4"/>
      <c r="K139" s="360"/>
      <c r="L139" s="361"/>
      <c r="M139" s="361"/>
      <c r="N139" s="361"/>
      <c r="O139" s="361"/>
      <c r="P139" s="361"/>
      <c r="Q139" s="361"/>
      <c r="R139" s="361"/>
      <c r="S139" s="361"/>
      <c r="T139" s="362"/>
      <c r="U139" s="4"/>
      <c r="V139" s="4"/>
      <c r="W139" s="4"/>
      <c r="X139" s="4"/>
      <c r="Y139" s="4"/>
      <c r="Z139" s="4"/>
      <c r="AA139" s="4"/>
    </row>
    <row r="140" spans="1:27" ht="12.75">
      <c r="A140" s="4"/>
      <c r="B140" s="4"/>
      <c r="C140" s="4"/>
      <c r="D140" s="4"/>
      <c r="E140" s="4"/>
      <c r="F140" s="4"/>
      <c r="G140" s="4"/>
      <c r="H140" s="4"/>
      <c r="I140" s="4"/>
      <c r="J140" s="4"/>
      <c r="K140" s="363"/>
      <c r="L140" s="364"/>
      <c r="M140" s="364"/>
      <c r="N140" s="364"/>
      <c r="O140" s="364"/>
      <c r="P140" s="364"/>
      <c r="Q140" s="364"/>
      <c r="R140" s="364"/>
      <c r="S140" s="364"/>
      <c r="T140" s="365"/>
      <c r="U140" s="4"/>
      <c r="V140" s="4"/>
      <c r="W140" s="4"/>
      <c r="X140" s="4"/>
      <c r="Y140" s="4"/>
      <c r="Z140" s="4"/>
      <c r="AA140" s="4"/>
    </row>
    <row r="141" spans="1:27" ht="14.25">
      <c r="A141" s="4"/>
      <c r="B141" s="4"/>
      <c r="C141" s="4"/>
      <c r="D141" s="4"/>
      <c r="E141" s="4"/>
      <c r="F141" s="4"/>
      <c r="G141" s="4"/>
      <c r="H141" s="4"/>
      <c r="I141" s="4"/>
      <c r="J141" s="4"/>
      <c r="K141" s="213"/>
      <c r="L141" s="213"/>
      <c r="M141" s="213"/>
      <c r="N141" s="213"/>
      <c r="O141" s="213"/>
      <c r="P141" s="213"/>
      <c r="Q141" s="213"/>
      <c r="R141" s="213"/>
      <c r="S141" s="213"/>
      <c r="T141" s="213"/>
      <c r="U141" s="4"/>
      <c r="V141" s="4"/>
      <c r="W141" s="4"/>
      <c r="X141" s="4"/>
      <c r="Y141" s="4"/>
      <c r="Z141" s="4"/>
      <c r="AA141" s="4"/>
    </row>
    <row r="142" spans="1:27" ht="15">
      <c r="A142" s="4"/>
      <c r="B142" s="4"/>
      <c r="C142" s="4"/>
      <c r="D142" s="4"/>
      <c r="E142" s="4"/>
      <c r="F142" s="4"/>
      <c r="G142" s="4"/>
      <c r="H142" s="4"/>
      <c r="I142" s="4"/>
      <c r="J142" s="4"/>
      <c r="K142" s="357"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142" s="358"/>
      <c r="M142" s="358"/>
      <c r="N142" s="358"/>
      <c r="O142" s="358"/>
      <c r="P142" s="358"/>
      <c r="Q142" s="358"/>
      <c r="R142" s="358"/>
      <c r="S142" s="358"/>
      <c r="T142" s="359"/>
      <c r="U142" s="4"/>
      <c r="V142" s="4"/>
      <c r="W142" s="4"/>
      <c r="X142" s="4"/>
      <c r="Y142" s="4"/>
      <c r="Z142" s="4"/>
      <c r="AA142" s="4"/>
    </row>
    <row r="143" spans="1:27"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21"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 r="A145" s="4"/>
      <c r="B145" s="4"/>
      <c r="C145" s="4"/>
      <c r="D145" s="4"/>
      <c r="E145" s="4"/>
      <c r="F145" s="4"/>
      <c r="G145" s="4"/>
      <c r="H145" s="4"/>
      <c r="I145" s="4"/>
      <c r="J145" s="4"/>
      <c r="K145" s="370" t="str">
        <f>Import.Município</f>
        <v>ENTRE RIOS DO SUL/RS</v>
      </c>
      <c r="L145" s="370"/>
      <c r="M145" s="370"/>
      <c r="N145" s="4"/>
      <c r="O145" s="4"/>
      <c r="P145" s="4"/>
      <c r="Q145" s="4"/>
      <c r="R145" s="4"/>
      <c r="S145" s="4"/>
      <c r="T145" s="4"/>
      <c r="U145" s="4"/>
      <c r="V145" s="4"/>
      <c r="W145" s="4"/>
      <c r="X145" s="4"/>
      <c r="Y145" s="4"/>
      <c r="Z145" s="4"/>
      <c r="AA145" s="4"/>
    </row>
    <row r="146" spans="1:27" ht="12.75">
      <c r="A146" s="4"/>
      <c r="B146" s="4"/>
      <c r="C146" s="4"/>
      <c r="D146" s="4"/>
      <c r="E146" s="4"/>
      <c r="F146" s="4"/>
      <c r="G146" s="4"/>
      <c r="H146" s="4"/>
      <c r="I146" s="4"/>
      <c r="J146" s="4"/>
      <c r="K146" s="112" t="s">
        <v>120</v>
      </c>
      <c r="L146" s="4"/>
      <c r="M146" s="4"/>
      <c r="N146" s="4"/>
      <c r="O146" s="4"/>
      <c r="P146" s="4"/>
      <c r="Q146" s="4"/>
      <c r="R146" s="4"/>
      <c r="S146" s="4"/>
      <c r="T146" s="4"/>
      <c r="U146" s="4"/>
      <c r="V146" s="4"/>
      <c r="W146" s="4"/>
      <c r="X146" s="4"/>
      <c r="Y146" s="4"/>
      <c r="Z146" s="4"/>
      <c r="AA146" s="4"/>
    </row>
    <row r="147" spans="1:27"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 r="A148" s="4"/>
      <c r="B148" s="4"/>
      <c r="C148" s="4"/>
      <c r="D148" s="4"/>
      <c r="E148" s="4"/>
      <c r="F148" s="4"/>
      <c r="G148" s="4"/>
      <c r="H148" s="4"/>
      <c r="I148" s="4"/>
      <c r="J148" s="4"/>
      <c r="K148" s="369" t="s">
        <v>362</v>
      </c>
      <c r="L148" s="369"/>
      <c r="M148" s="369"/>
      <c r="N148" s="4"/>
      <c r="O148" s="4"/>
      <c r="P148" s="4"/>
      <c r="Q148" s="4"/>
      <c r="R148" s="4"/>
      <c r="S148" s="4"/>
      <c r="T148" s="4"/>
      <c r="U148" s="4"/>
      <c r="V148" s="4"/>
      <c r="W148" s="4"/>
      <c r="X148" s="4"/>
      <c r="Y148" s="4"/>
      <c r="Z148" s="4"/>
      <c r="AA148" s="4"/>
    </row>
    <row r="149" spans="1:27" ht="12.75">
      <c r="A149" s="4"/>
      <c r="B149" s="4"/>
      <c r="C149" s="4"/>
      <c r="D149" s="4"/>
      <c r="E149" s="4"/>
      <c r="F149" s="4"/>
      <c r="G149" s="4"/>
      <c r="H149" s="4"/>
      <c r="I149" s="4"/>
      <c r="J149" s="4"/>
      <c r="K149" s="141" t="s">
        <v>121</v>
      </c>
      <c r="L149" s="83"/>
      <c r="M149" s="83"/>
      <c r="N149" s="4"/>
      <c r="O149" s="4"/>
      <c r="P149" s="4"/>
      <c r="Q149" s="4"/>
      <c r="R149" s="4"/>
      <c r="S149" s="4"/>
      <c r="T149" s="4"/>
      <c r="U149" s="4"/>
      <c r="V149" s="4"/>
      <c r="W149" s="4"/>
      <c r="X149" s="4"/>
      <c r="Y149" s="4"/>
      <c r="Z149" s="4"/>
      <c r="AA149" s="4"/>
    </row>
  </sheetData>
  <sheetProtection password="C95B" sheet="1" objects="1" scenarios="1"/>
  <mergeCells count="6">
    <mergeCell ref="W2:X2"/>
    <mergeCell ref="K142:T142"/>
    <mergeCell ref="K138:T140"/>
    <mergeCell ref="M135:T135"/>
    <mergeCell ref="K148:M148"/>
    <mergeCell ref="K145:M145"/>
  </mergeCells>
  <conditionalFormatting sqref="O12:R12 L12:M12">
    <cfRule type="expression" priority="7745" dxfId="140" stopIfTrue="1">
      <formula>$J12=$C$2</formula>
    </cfRule>
    <cfRule type="expression" priority="7746" dxfId="689" stopIfTrue="1">
      <formula>UPPER(LEFT($J12,5))="NÍVEL"</formula>
    </cfRule>
    <cfRule type="expression" priority="7747" dxfId="691" stopIfTrue="1">
      <formula>$J12=$C$8</formula>
    </cfRule>
  </conditionalFormatting>
  <conditionalFormatting sqref="Y12:Z12 S12:T12 K12">
    <cfRule type="expression" priority="7748" dxfId="140" stopIfTrue="1">
      <formula>$J12=$C$2</formula>
    </cfRule>
    <cfRule type="expression" priority="7749" dxfId="689" stopIfTrue="1">
      <formula>UPPER(LEFT($J12,5))="NÍVEL"</formula>
    </cfRule>
  </conditionalFormatting>
  <conditionalFormatting sqref="K11 K13:K32 K34:K133">
    <cfRule type="expression" priority="7761" dxfId="0" stopIfTrue="1">
      <formula>$J11=$C$2</formula>
    </cfRule>
    <cfRule type="expression" priority="7762" dxfId="139" stopIfTrue="1">
      <formula>AND($J11&lt;&gt;"",$J11&lt;&gt;"Serviço")</formula>
    </cfRule>
    <cfRule type="expression" priority="7763" dxfId="138" stopIfTrue="1">
      <formula>$J11=""</formula>
    </cfRule>
  </conditionalFormatting>
  <conditionalFormatting sqref="P11 P13:P32 P34:P133">
    <cfRule type="expression" priority="6088" dxfId="493" stopIfTrue="1">
      <formula>$J11=$C$2</formula>
    </cfRule>
    <cfRule type="expression" priority="7767" dxfId="492" stopIfTrue="1">
      <formula>AND($J11&lt;&gt;"Serviço")</formula>
    </cfRule>
    <cfRule type="expression" priority="7768" dxfId="491" stopIfTrue="1">
      <formula>CELL("proteger",P11)</formula>
    </cfRule>
  </conditionalFormatting>
  <conditionalFormatting sqref="Q11:R11 Q13:R32 Q34:R133">
    <cfRule type="expression" priority="7769" dxfId="478" stopIfTrue="1">
      <formula>$J11=$C$2</formula>
    </cfRule>
    <cfRule type="expression" priority="7770" dxfId="477" stopIfTrue="1">
      <formula>$J11&lt;&gt;"Serviço"</formula>
    </cfRule>
    <cfRule type="expression" priority="7771" dxfId="187" stopIfTrue="1">
      <formula>CELL("proteger",Q11)</formula>
    </cfRule>
  </conditionalFormatting>
  <conditionalFormatting sqref="S11:T11 Y11:Z11 S13:T32 Y13:Z32 Y34:Z133 S34:T133">
    <cfRule type="expression" priority="7772" dxfId="0" stopIfTrue="1">
      <formula>$J11=$C$2</formula>
    </cfRule>
    <cfRule type="expression" priority="7773" dxfId="139" stopIfTrue="1">
      <formula>$J11&lt;&gt;"Serviço"</formula>
    </cfRule>
  </conditionalFormatting>
  <conditionalFormatting sqref="L11:M11 L13:M14 M15 L23:L26 L27:M27 L28 L29:M29 L30:L31 L32:M32 L35:L36 L37:M37 L38 L39:M39 L16:M22 L34:M34 L46:L47 L41:M45 M53:M54 M56:M57 L55:L57 L58:M58 L74:M74 M77:M78 M81 M84 L76:M76 M70 L51:M51 L61:M61 L71:M71 L85:M133 L48:M49">
    <cfRule type="expression" priority="7793" dxfId="478" stopIfTrue="1">
      <formula>$J11=$C$2</formula>
    </cfRule>
    <cfRule type="expression" priority="7794" dxfId="477" stopIfTrue="1">
      <formula>$J11&lt;&gt;"Serviço"</formula>
    </cfRule>
    <cfRule type="expression" priority="7795" dxfId="187" stopIfTrue="1">
      <formula>OR(CELL("proteger",L11),$J11="",TipoOrçamento="Licitado")</formula>
    </cfRule>
  </conditionalFormatting>
  <conditionalFormatting sqref="K135:T135">
    <cfRule type="expression" priority="7774" dxfId="123" stopIfTrue="1">
      <formula>OR(Tipo.Orçamento="LICITADO",Tipo.Orçamento="REPROGRAMADOAC")</formula>
    </cfRule>
    <cfRule type="expression" priority="7775" dxfId="673" stopIfTrue="1">
      <formula>$M$135=""</formula>
    </cfRule>
  </conditionalFormatting>
  <conditionalFormatting sqref="J11 J13:J14 J16:J18 J99:J100 J131:J132 J37:J38 J52 J60 J74:J75 J78:J80 J82:J84 J127:J129 J102:J103 J114:J116 J32 J34 J55:J58 J62:J63 J106:J108 J111 J49">
    <cfRule type="expression" priority="7802" dxfId="187" stopIfTrue="1">
      <formula>TipoOrçamento="Licitado"</formula>
    </cfRule>
  </conditionalFormatting>
  <conditionalFormatting sqref="O11 O13:O32 O34:O133">
    <cfRule type="expression" priority="6108" dxfId="478" stopIfTrue="1">
      <formula>$J11=$C$2</formula>
    </cfRule>
    <cfRule type="expression" priority="6109" dxfId="477" stopIfTrue="1">
      <formula>AND($J11&lt;&gt;"Serviço")</formula>
    </cfRule>
    <cfRule type="expression" priority="6110" dxfId="187" stopIfTrue="1">
      <formula>CELL("proteger",O11)</formula>
    </cfRule>
  </conditionalFormatting>
  <conditionalFormatting sqref="N11 N13:N32 N34:N133">
    <cfRule type="expression" priority="6111" dxfId="481" stopIfTrue="1">
      <formula>$J11=$C$2</formula>
    </cfRule>
    <cfRule type="expression" priority="6112" dxfId="139" stopIfTrue="1">
      <formula>$J11&lt;&gt;"Serviço"</formula>
    </cfRule>
    <cfRule type="expression" priority="6113" dxfId="187" stopIfTrue="1">
      <formula>CELL("proteger",N11)</formula>
    </cfRule>
  </conditionalFormatting>
  <conditionalFormatting sqref="J22:J23 J27:J29 J31 J46:J47">
    <cfRule type="expression" priority="5622" dxfId="187" stopIfTrue="1">
      <formula>TipoOrçamento="Licitado"</formula>
    </cfRule>
  </conditionalFormatting>
  <conditionalFormatting sqref="J20:J21">
    <cfRule type="expression" priority="5601" dxfId="187" stopIfTrue="1">
      <formula>TipoOrçamento="Licitado"</formula>
    </cfRule>
  </conditionalFormatting>
  <conditionalFormatting sqref="J24:J26">
    <cfRule type="expression" priority="5572" dxfId="187" stopIfTrue="1">
      <formula>TipoOrçamento="Licitado"</formula>
    </cfRule>
  </conditionalFormatting>
  <conditionalFormatting sqref="M23:M26 M30">
    <cfRule type="expression" priority="5551" dxfId="473" stopIfTrue="1">
      <formula>OR($H23="M",$H23="A")</formula>
    </cfRule>
  </conditionalFormatting>
  <conditionalFormatting sqref="M23:M26">
    <cfRule type="expression" priority="5550" dxfId="473" stopIfTrue="1">
      <formula>OR($H23="M",$H23="A")</formula>
    </cfRule>
  </conditionalFormatting>
  <conditionalFormatting sqref="M23:M24">
    <cfRule type="expression" priority="5549" dxfId="473" stopIfTrue="1">
      <formula>OR($H23="M",$H23="A")</formula>
    </cfRule>
  </conditionalFormatting>
  <conditionalFormatting sqref="M25:M26">
    <cfRule type="expression" priority="5548" dxfId="473" stopIfTrue="1">
      <formula>OR($H25="M",$H25="A")</formula>
    </cfRule>
  </conditionalFormatting>
  <conditionalFormatting sqref="M26">
    <cfRule type="expression" priority="5547" dxfId="473" stopIfTrue="1">
      <formula>OR($H26="M",$H26="A")</formula>
    </cfRule>
  </conditionalFormatting>
  <conditionalFormatting sqref="J30">
    <cfRule type="expression" priority="5546" dxfId="187" stopIfTrue="1">
      <formula>TipoOrçamento="Licitado"</formula>
    </cfRule>
  </conditionalFormatting>
  <conditionalFormatting sqref="M28 M31">
    <cfRule type="expression" priority="5519" dxfId="473" stopIfTrue="1">
      <formula>OR($H28="M",$H28="A")</formula>
    </cfRule>
  </conditionalFormatting>
  <conditionalFormatting sqref="M28 M31">
    <cfRule type="expression" priority="5518" dxfId="473" stopIfTrue="1">
      <formula>OR($H28="M",$H28="A")</formula>
    </cfRule>
  </conditionalFormatting>
  <conditionalFormatting sqref="M28">
    <cfRule type="expression" priority="5517" dxfId="473" stopIfTrue="1">
      <formula>OR($H28="M",$H28="A")</formula>
    </cfRule>
  </conditionalFormatting>
  <conditionalFormatting sqref="M31">
    <cfRule type="expression" priority="5516" dxfId="473" stopIfTrue="1">
      <formula>OR($H31="M",$H31="A")</formula>
    </cfRule>
  </conditionalFormatting>
  <conditionalFormatting sqref="M31">
    <cfRule type="expression" priority="5515" dxfId="473" stopIfTrue="1">
      <formula>OR($H31="M",$H31="A")</formula>
    </cfRule>
  </conditionalFormatting>
  <conditionalFormatting sqref="M38">
    <cfRule type="expression" priority="5503" dxfId="473" stopIfTrue="1">
      <formula>OR($H38="M",$H38="A")</formula>
    </cfRule>
  </conditionalFormatting>
  <conditionalFormatting sqref="M46:M47">
    <cfRule type="expression" priority="5502" dxfId="473" stopIfTrue="1">
      <formula>OR($H46="M",$H46="A")</formula>
    </cfRule>
  </conditionalFormatting>
  <conditionalFormatting sqref="J96:J97">
    <cfRule type="expression" priority="5030" dxfId="187" stopIfTrue="1">
      <formula>TipoOrçamento="Licitado"</formula>
    </cfRule>
  </conditionalFormatting>
  <conditionalFormatting sqref="J85">
    <cfRule type="expression" priority="4490" dxfId="187" stopIfTrue="1">
      <formula>TipoOrçamento="Licitado"</formula>
    </cfRule>
  </conditionalFormatting>
  <conditionalFormatting sqref="J130">
    <cfRule type="expression" priority="3521" dxfId="187" stopIfTrue="1">
      <formula>TipoOrçamento="Licitado"</formula>
    </cfRule>
  </conditionalFormatting>
  <conditionalFormatting sqref="J98">
    <cfRule type="expression" priority="2432" dxfId="187" stopIfTrue="1">
      <formula>TipoOrçamento="Licitado"</formula>
    </cfRule>
  </conditionalFormatting>
  <conditionalFormatting sqref="J50">
    <cfRule type="expression" priority="2273" dxfId="187" stopIfTrue="1">
      <formula>TipoOrçamento="Licitado"</formula>
    </cfRule>
  </conditionalFormatting>
  <conditionalFormatting sqref="J64:J65 J68">
    <cfRule type="expression" priority="2252" dxfId="187" stopIfTrue="1">
      <formula>TipoOrçamento="Licitado"</formula>
    </cfRule>
  </conditionalFormatting>
  <conditionalFormatting sqref="J69">
    <cfRule type="expression" priority="2096" dxfId="187" stopIfTrue="1">
      <formula>TipoOrçamento="Licitado"</formula>
    </cfRule>
  </conditionalFormatting>
  <conditionalFormatting sqref="J73">
    <cfRule type="expression" priority="2021" dxfId="187" stopIfTrue="1">
      <formula>TipoOrçamento="Licitado"</formula>
    </cfRule>
  </conditionalFormatting>
  <conditionalFormatting sqref="J72">
    <cfRule type="expression" priority="1973" dxfId="187" stopIfTrue="1">
      <formula>TipoOrçamento="Licitado"</formula>
    </cfRule>
  </conditionalFormatting>
  <conditionalFormatting sqref="J15">
    <cfRule type="expression" priority="1904" dxfId="187" stopIfTrue="1">
      <formula>TipoOrçamento="Licitado"</formula>
    </cfRule>
  </conditionalFormatting>
  <conditionalFormatting sqref="L15">
    <cfRule type="expression" priority="1881" dxfId="478" stopIfTrue="1">
      <formula>$J15=$C$2</formula>
    </cfRule>
    <cfRule type="expression" priority="1882" dxfId="477" stopIfTrue="1">
      <formula>$J15&lt;&gt;"Serviço"</formula>
    </cfRule>
    <cfRule type="expression" priority="1883" dxfId="187" stopIfTrue="1">
      <formula>OR(CELL("proteger",L15),$J15="",TipoOrçamento="Licitado")</formula>
    </cfRule>
  </conditionalFormatting>
  <conditionalFormatting sqref="J45">
    <cfRule type="expression" priority="1850" dxfId="187" stopIfTrue="1">
      <formula>TipoOrçamento="Licitado"</formula>
    </cfRule>
  </conditionalFormatting>
  <conditionalFormatting sqref="M30">
    <cfRule type="expression" priority="1770" dxfId="473" stopIfTrue="1">
      <formula>OR($H30="M",$H30="A")</formula>
    </cfRule>
  </conditionalFormatting>
  <conditionalFormatting sqref="J36">
    <cfRule type="expression" priority="1769" dxfId="187" stopIfTrue="1">
      <formula>TipoOrçamento="Licitado"</formula>
    </cfRule>
  </conditionalFormatting>
  <conditionalFormatting sqref="M36">
    <cfRule type="expression" priority="1724" dxfId="473" stopIfTrue="1">
      <formula>OR($H36="M",$H36="A")</formula>
    </cfRule>
  </conditionalFormatting>
  <conditionalFormatting sqref="M36">
    <cfRule type="expression" priority="1723" dxfId="473" stopIfTrue="1">
      <formula>OR($H36="M",$H36="A")</formula>
    </cfRule>
  </conditionalFormatting>
  <conditionalFormatting sqref="M36">
    <cfRule type="expression" priority="1721" dxfId="473" stopIfTrue="1">
      <formula>OR($H36="M",$H36="A")</formula>
    </cfRule>
  </conditionalFormatting>
  <conditionalFormatting sqref="M36">
    <cfRule type="expression" priority="1720" dxfId="473" stopIfTrue="1">
      <formula>OR($H36="M",$H36="A")</formula>
    </cfRule>
  </conditionalFormatting>
  <conditionalFormatting sqref="J35">
    <cfRule type="expression" priority="1685" dxfId="187" stopIfTrue="1">
      <formula>TipoOrçamento="Licitado"</formula>
    </cfRule>
  </conditionalFormatting>
  <conditionalFormatting sqref="M35">
    <cfRule type="expression" priority="1659" dxfId="473" stopIfTrue="1">
      <formula>OR($H35="M",$H35="A")</formula>
    </cfRule>
  </conditionalFormatting>
  <conditionalFormatting sqref="M35">
    <cfRule type="expression" priority="1661" dxfId="473" stopIfTrue="1">
      <formula>OR($H35="M",$H35="A")</formula>
    </cfRule>
  </conditionalFormatting>
  <conditionalFormatting sqref="M35">
    <cfRule type="expression" priority="1660" dxfId="473" stopIfTrue="1">
      <formula>OR($H35="M",$H35="A")</formula>
    </cfRule>
  </conditionalFormatting>
  <conditionalFormatting sqref="L52:M52">
    <cfRule type="expression" priority="1569" dxfId="478" stopIfTrue="1">
      <formula>#REF!=$C$2</formula>
    </cfRule>
    <cfRule type="expression" priority="1570" dxfId="477" stopIfTrue="1">
      <formula>#REF!&lt;&gt;"Serviço"</formula>
    </cfRule>
    <cfRule type="expression" priority="1571" dxfId="187" stopIfTrue="1">
      <formula>OR(CELL("proteger",L52),#REF!="",TipoOrçamento="Licitado")</formula>
    </cfRule>
  </conditionalFormatting>
  <conditionalFormatting sqref="M55 L68:L69">
    <cfRule type="expression" priority="1554" dxfId="478" stopIfTrue="1">
      <formula>#REF!=$C$2</formula>
    </cfRule>
    <cfRule type="expression" priority="1555" dxfId="477" stopIfTrue="1">
      <formula>#REF!&lt;&gt;"Serviço"</formula>
    </cfRule>
    <cfRule type="expression" priority="1556" dxfId="187" stopIfTrue="1">
      <formula>OR(CELL("proteger",L55),#REF!="",TipoOrçamento="Licitado")</formula>
    </cfRule>
  </conditionalFormatting>
  <conditionalFormatting sqref="L50:M50 L62:L65 L66:M67">
    <cfRule type="expression" priority="1551" dxfId="478" stopIfTrue="1">
      <formula>#REF!=$C$2</formula>
    </cfRule>
    <cfRule type="expression" priority="1552" dxfId="477" stopIfTrue="1">
      <formula>#REF!&lt;&gt;"Serviço"</formula>
    </cfRule>
    <cfRule type="expression" priority="1553" dxfId="187" stopIfTrue="1">
      <formula>OR(CELL("proteger",L50),#REF!="",TipoOrçamento="Licitado")</formula>
    </cfRule>
  </conditionalFormatting>
  <conditionalFormatting sqref="J53:J54">
    <cfRule type="expression" priority="1508" dxfId="187" stopIfTrue="1">
      <formula>TipoOrçamento="Licitado"</formula>
    </cfRule>
  </conditionalFormatting>
  <conditionalFormatting sqref="L53:L54">
    <cfRule type="expression" priority="1455" dxfId="478" stopIfTrue="1">
      <formula>#REF!=$C$2</formula>
    </cfRule>
    <cfRule type="expression" priority="1456" dxfId="477" stopIfTrue="1">
      <formula>#REF!&lt;&gt;"Serviço"</formula>
    </cfRule>
    <cfRule type="expression" priority="1457" dxfId="187" stopIfTrue="1">
      <formula>OR(CELL("proteger",L53),#REF!="",TipoOrçamento="Licitado")</formula>
    </cfRule>
  </conditionalFormatting>
  <conditionalFormatting sqref="L60">
    <cfRule type="expression" priority="1440" dxfId="478" stopIfTrue="1">
      <formula>#REF!=$C$2</formula>
    </cfRule>
    <cfRule type="expression" priority="1441" dxfId="477" stopIfTrue="1">
      <formula>#REF!&lt;&gt;"Serviço"</formula>
    </cfRule>
    <cfRule type="expression" priority="1442" dxfId="187" stopIfTrue="1">
      <formula>OR(CELL("proteger",L60),#REF!="",TipoOrçamento="Licitado")</formula>
    </cfRule>
  </conditionalFormatting>
  <conditionalFormatting sqref="M60">
    <cfRule type="expression" priority="1437" dxfId="478" stopIfTrue="1">
      <formula>#REF!=$C$2</formula>
    </cfRule>
    <cfRule type="expression" priority="1438" dxfId="477" stopIfTrue="1">
      <formula>#REF!&lt;&gt;"Serviço"</formula>
    </cfRule>
    <cfRule type="expression" priority="1439" dxfId="187" stopIfTrue="1">
      <formula>OR(CELL("proteger",M60),#REF!="",TipoOrçamento="Licitado")</formula>
    </cfRule>
  </conditionalFormatting>
  <conditionalFormatting sqref="L72">
    <cfRule type="expression" priority="1434" dxfId="478" stopIfTrue="1">
      <formula>#REF!=$C$2</formula>
    </cfRule>
    <cfRule type="expression" priority="1435" dxfId="477" stopIfTrue="1">
      <formula>#REF!&lt;&gt;"Serviço"</formula>
    </cfRule>
    <cfRule type="expression" priority="1436" dxfId="187" stopIfTrue="1">
      <formula>OR(CELL("proteger",L72),#REF!="",TipoOrçamento="Licitado")</formula>
    </cfRule>
  </conditionalFormatting>
  <conditionalFormatting sqref="M62">
    <cfRule type="expression" priority="1428" dxfId="478" stopIfTrue="1">
      <formula>#REF!=$C$2</formula>
    </cfRule>
    <cfRule type="expression" priority="1429" dxfId="477" stopIfTrue="1">
      <formula>#REF!&lt;&gt;"Serviço"</formula>
    </cfRule>
    <cfRule type="expression" priority="1430" dxfId="187" stopIfTrue="1">
      <formula>OR(CELL("proteger",M62),#REF!="",TipoOrçamento="Licitado")</formula>
    </cfRule>
  </conditionalFormatting>
  <conditionalFormatting sqref="L63">
    <cfRule type="expression" priority="1425" dxfId="478" stopIfTrue="1">
      <formula>#REF!=$C$2</formula>
    </cfRule>
    <cfRule type="expression" priority="1426" dxfId="477" stopIfTrue="1">
      <formula>#REF!&lt;&gt;"Serviço"</formula>
    </cfRule>
    <cfRule type="expression" priority="1427" dxfId="187" stopIfTrue="1">
      <formula>OR(CELL("proteger",L63),#REF!="",TipoOrçamento="Licitado")</formula>
    </cfRule>
  </conditionalFormatting>
  <conditionalFormatting sqref="M63">
    <cfRule type="expression" priority="1422" dxfId="478" stopIfTrue="1">
      <formula>#REF!=$C$2</formula>
    </cfRule>
    <cfRule type="expression" priority="1423" dxfId="477" stopIfTrue="1">
      <formula>#REF!&lt;&gt;"Serviço"</formula>
    </cfRule>
    <cfRule type="expression" priority="1424" dxfId="187" stopIfTrue="1">
      <formula>OR(CELL("proteger",M63),#REF!="",TipoOrçamento="Licitado")</formula>
    </cfRule>
  </conditionalFormatting>
  <conditionalFormatting sqref="M65">
    <cfRule type="expression" priority="1410" dxfId="478" stopIfTrue="1">
      <formula>#REF!=$C$2</formula>
    </cfRule>
    <cfRule type="expression" priority="1411" dxfId="477" stopIfTrue="1">
      <formula>#REF!&lt;&gt;"Serviço"</formula>
    </cfRule>
    <cfRule type="expression" priority="1412" dxfId="187" stopIfTrue="1">
      <formula>OR(CELL("proteger",M65),#REF!="",TipoOrçamento="Licitado")</formula>
    </cfRule>
  </conditionalFormatting>
  <conditionalFormatting sqref="L64:L65">
    <cfRule type="expression" priority="1419" dxfId="478" stopIfTrue="1">
      <formula>#REF!=$C$2</formula>
    </cfRule>
    <cfRule type="expression" priority="1420" dxfId="477" stopIfTrue="1">
      <formula>#REF!&lt;&gt;"Serviço"</formula>
    </cfRule>
    <cfRule type="expression" priority="1421" dxfId="187" stopIfTrue="1">
      <formula>OR(CELL("proteger",L64),#REF!="",TipoOrçamento="Licitado")</formula>
    </cfRule>
  </conditionalFormatting>
  <conditionalFormatting sqref="M64">
    <cfRule type="expression" priority="1416" dxfId="478" stopIfTrue="1">
      <formula>#REF!=$C$2</formula>
    </cfRule>
    <cfRule type="expression" priority="1417" dxfId="477" stopIfTrue="1">
      <formula>#REF!&lt;&gt;"Serviço"</formula>
    </cfRule>
    <cfRule type="expression" priority="1418" dxfId="187" stopIfTrue="1">
      <formula>OR(CELL("proteger",M64),#REF!="",TipoOrçamento="Licitado")</formula>
    </cfRule>
  </conditionalFormatting>
  <conditionalFormatting sqref="M69">
    <cfRule type="expression" priority="1398" dxfId="478" stopIfTrue="1">
      <formula>#REF!=$C$2</formula>
    </cfRule>
    <cfRule type="expression" priority="1399" dxfId="477" stopIfTrue="1">
      <formula>#REF!&lt;&gt;"Serviço"</formula>
    </cfRule>
    <cfRule type="expression" priority="1400" dxfId="187" stopIfTrue="1">
      <formula>OR(CELL("proteger",M69),#REF!="",TipoOrçamento="Licitado")</formula>
    </cfRule>
  </conditionalFormatting>
  <conditionalFormatting sqref="M72">
    <cfRule type="expression" priority="1446" dxfId="478" stopIfTrue="1">
      <formula>#REF!=$C$2</formula>
    </cfRule>
    <cfRule type="expression" priority="1447" dxfId="477" stopIfTrue="1">
      <formula>#REF!&lt;&gt;"Serviço"</formula>
    </cfRule>
    <cfRule type="expression" priority="1448" dxfId="187" stopIfTrue="1">
      <formula>OR(CELL("proteger",M72),#REF!="",TipoOrçamento="Licitado")</formula>
    </cfRule>
  </conditionalFormatting>
  <conditionalFormatting sqref="M68">
    <cfRule type="expression" priority="1404" dxfId="478" stopIfTrue="1">
      <formula>#REF!=$C$2</formula>
    </cfRule>
    <cfRule type="expression" priority="1405" dxfId="477" stopIfTrue="1">
      <formula>#REF!&lt;&gt;"Serviço"</formula>
    </cfRule>
    <cfRule type="expression" priority="1406" dxfId="187" stopIfTrue="1">
      <formula>OR(CELL("proteger",M68),#REF!="",TipoOrçamento="Licitado")</formula>
    </cfRule>
  </conditionalFormatting>
  <conditionalFormatting sqref="M73">
    <cfRule type="expression" priority="1389" dxfId="478" stopIfTrue="1">
      <formula>#REF!=$C$2</formula>
    </cfRule>
    <cfRule type="expression" priority="1390" dxfId="477" stopIfTrue="1">
      <formula>#REF!&lt;&gt;"Serviço"</formula>
    </cfRule>
    <cfRule type="expression" priority="1391" dxfId="187" stopIfTrue="1">
      <formula>OR(CELL("proteger",M73),#REF!="",TipoOrçamento="Licitado")</formula>
    </cfRule>
  </conditionalFormatting>
  <conditionalFormatting sqref="L73">
    <cfRule type="expression" priority="1386" dxfId="478" stopIfTrue="1">
      <formula>#REF!=$C$2</formula>
    </cfRule>
    <cfRule type="expression" priority="1387" dxfId="477" stopIfTrue="1">
      <formula>#REF!&lt;&gt;"Serviço"</formula>
    </cfRule>
    <cfRule type="expression" priority="1388" dxfId="187" stopIfTrue="1">
      <formula>OR(CELL("proteger",L73),#REF!="",TipoOrçamento="Licitado")</formula>
    </cfRule>
  </conditionalFormatting>
  <conditionalFormatting sqref="J66">
    <cfRule type="expression" priority="1268" dxfId="187" stopIfTrue="1">
      <formula>TipoOrçamento="Licitado"</formula>
    </cfRule>
  </conditionalFormatting>
  <conditionalFormatting sqref="J59">
    <cfRule type="expression" priority="1247" dxfId="187" stopIfTrue="1">
      <formula>TipoOrçamento="Licitado"</formula>
    </cfRule>
  </conditionalFormatting>
  <conditionalFormatting sqref="J67">
    <cfRule type="expression" priority="1205" dxfId="187" stopIfTrue="1">
      <formula>TipoOrçamento="Licitado"</formula>
    </cfRule>
  </conditionalFormatting>
  <conditionalFormatting sqref="L59">
    <cfRule type="expression" priority="1140" dxfId="478" stopIfTrue="1">
      <formula>#REF!=$C$2</formula>
    </cfRule>
    <cfRule type="expression" priority="1141" dxfId="477" stopIfTrue="1">
      <formula>#REF!&lt;&gt;"Serviço"</formula>
    </cfRule>
    <cfRule type="expression" priority="1142" dxfId="187" stopIfTrue="1">
      <formula>OR(CELL("proteger",L59),#REF!="",TipoOrçamento="Licitado")</formula>
    </cfRule>
  </conditionalFormatting>
  <conditionalFormatting sqref="M59">
    <cfRule type="expression" priority="1137" dxfId="478" stopIfTrue="1">
      <formula>#REF!=$C$2</formula>
    </cfRule>
    <cfRule type="expression" priority="1138" dxfId="477" stopIfTrue="1">
      <formula>#REF!&lt;&gt;"Serviço"</formula>
    </cfRule>
    <cfRule type="expression" priority="1139" dxfId="187" stopIfTrue="1">
      <formula>OR(CELL("proteger",M59),#REF!="",TipoOrçamento="Licitado")</formula>
    </cfRule>
  </conditionalFormatting>
  <conditionalFormatting sqref="L79:M80">
    <cfRule type="expression" priority="1038" dxfId="478" stopIfTrue="1">
      <formula>#REF!=$C$2</formula>
    </cfRule>
    <cfRule type="expression" priority="1039" dxfId="477" stopIfTrue="1">
      <formula>#REF!&lt;&gt;"Serviço"</formula>
    </cfRule>
    <cfRule type="expression" priority="1040" dxfId="187" stopIfTrue="1">
      <formula>OR(CELL("proteger",L79),#REF!="",TipoOrçamento="Licitado")</formula>
    </cfRule>
  </conditionalFormatting>
  <conditionalFormatting sqref="L82:M82">
    <cfRule type="expression" priority="1044" dxfId="478" stopIfTrue="1">
      <formula>#REF!=$C$2</formula>
    </cfRule>
    <cfRule type="expression" priority="1045" dxfId="477" stopIfTrue="1">
      <formula>#REF!&lt;&gt;"Serviço"</formula>
    </cfRule>
    <cfRule type="expression" priority="1046" dxfId="187" stopIfTrue="1">
      <formula>OR(CELL("proteger",L82),#REF!="",TipoOrçamento="Licitado")</formula>
    </cfRule>
  </conditionalFormatting>
  <conditionalFormatting sqref="L79:M79">
    <cfRule type="expression" priority="1047" dxfId="478" stopIfTrue="1">
      <formula>#REF!=$C$2</formula>
    </cfRule>
    <cfRule type="expression" priority="1048" dxfId="477" stopIfTrue="1">
      <formula>#REF!&lt;&gt;"Serviço"</formula>
    </cfRule>
    <cfRule type="expression" priority="1049" dxfId="187" stopIfTrue="1">
      <formula>OR(CELL("proteger",L79),#REF!="",TipoOrçamento="Licitado")</formula>
    </cfRule>
  </conditionalFormatting>
  <conditionalFormatting sqref="L75:M75">
    <cfRule type="expression" priority="1032" dxfId="478" stopIfTrue="1">
      <formula>#REF!=$C$2</formula>
    </cfRule>
    <cfRule type="expression" priority="1033" dxfId="477" stopIfTrue="1">
      <formula>#REF!&lt;&gt;"Serviço"</formula>
    </cfRule>
    <cfRule type="expression" priority="1034" dxfId="187" stopIfTrue="1">
      <formula>OR(CELL("proteger",L75),#REF!="",TipoOrçamento="Licitado")</formula>
    </cfRule>
  </conditionalFormatting>
  <conditionalFormatting sqref="L75:M75">
    <cfRule type="expression" priority="1035" dxfId="478" stopIfTrue="1">
      <formula>#REF!=$C$2</formula>
    </cfRule>
    <cfRule type="expression" priority="1036" dxfId="477" stopIfTrue="1">
      <formula>#REF!&lt;&gt;"Serviço"</formula>
    </cfRule>
    <cfRule type="expression" priority="1037" dxfId="187" stopIfTrue="1">
      <formula>OR(CELL("proteger",L75),#REF!="",TipoOrçamento="Licitado")</formula>
    </cfRule>
  </conditionalFormatting>
  <conditionalFormatting sqref="L80:M80">
    <cfRule type="expression" priority="1050" dxfId="478" stopIfTrue="1">
      <formula>#REF!=$C$2</formula>
    </cfRule>
    <cfRule type="expression" priority="1051" dxfId="477" stopIfTrue="1">
      <formula>#REF!&lt;&gt;"Serviço"</formula>
    </cfRule>
    <cfRule type="expression" priority="1052" dxfId="187" stopIfTrue="1">
      <formula>OR(CELL("proteger",L80),#REF!="",TipoOrçamento="Licitado")</formula>
    </cfRule>
  </conditionalFormatting>
  <conditionalFormatting sqref="L82:M82">
    <cfRule type="expression" priority="1053" dxfId="478" stopIfTrue="1">
      <formula>#REF!=$C$2</formula>
    </cfRule>
    <cfRule type="expression" priority="1054" dxfId="477" stopIfTrue="1">
      <formula>#REF!&lt;&gt;"Serviço"</formula>
    </cfRule>
    <cfRule type="expression" priority="1055" dxfId="187" stopIfTrue="1">
      <formula>OR(CELL("proteger",L82),#REF!="",TipoOrçamento="Licitado")</formula>
    </cfRule>
  </conditionalFormatting>
  <conditionalFormatting sqref="L84">
    <cfRule type="expression" priority="1059" dxfId="478" stopIfTrue="1">
      <formula>$J79=$C$2</formula>
    </cfRule>
    <cfRule type="expression" priority="1060" dxfId="477" stopIfTrue="1">
      <formula>$J79&lt;&gt;"Serviço"</formula>
    </cfRule>
    <cfRule type="expression" priority="1061" dxfId="187" stopIfTrue="1">
      <formula>OR(CELL("proteger",L84),$J79="",TipoOrçamento="Licitado")</formula>
    </cfRule>
  </conditionalFormatting>
  <conditionalFormatting sqref="L83:M83">
    <cfRule type="expression" priority="1062" dxfId="478" stopIfTrue="1">
      <formula>$J75=$C$2</formula>
    </cfRule>
    <cfRule type="expression" priority="1063" dxfId="477" stopIfTrue="1">
      <formula>$J75&lt;&gt;"Serviço"</formula>
    </cfRule>
    <cfRule type="expression" priority="1064" dxfId="187" stopIfTrue="1">
      <formula>OR(CELL("proteger",L83),$J75="",TipoOrçamento="Licitado")</formula>
    </cfRule>
  </conditionalFormatting>
  <conditionalFormatting sqref="L78">
    <cfRule type="expression" priority="1023" dxfId="478" stopIfTrue="1">
      <formula>#REF!=$C$2</formula>
    </cfRule>
    <cfRule type="expression" priority="1024" dxfId="477" stopIfTrue="1">
      <formula>#REF!&lt;&gt;"Serviço"</formula>
    </cfRule>
    <cfRule type="expression" priority="1025" dxfId="187" stopIfTrue="1">
      <formula>OR(CELL("proteger",L78),#REF!="",TipoOrçamento="Licitado")</formula>
    </cfRule>
  </conditionalFormatting>
  <conditionalFormatting sqref="L78">
    <cfRule type="expression" priority="1026" dxfId="478" stopIfTrue="1">
      <formula>#REF!=$C$2</formula>
    </cfRule>
    <cfRule type="expression" priority="1027" dxfId="477" stopIfTrue="1">
      <formula>#REF!&lt;&gt;"Serviço"</formula>
    </cfRule>
    <cfRule type="expression" priority="1028" dxfId="187" stopIfTrue="1">
      <formula>OR(CELL("proteger",L78),#REF!="",TipoOrçamento="Licitado")</formula>
    </cfRule>
  </conditionalFormatting>
  <conditionalFormatting sqref="J77">
    <cfRule type="expression" priority="1010" dxfId="187" stopIfTrue="1">
      <formula>TipoOrçamento="Licitado"</formula>
    </cfRule>
  </conditionalFormatting>
  <conditionalFormatting sqref="L77">
    <cfRule type="expression" priority="984" dxfId="478" stopIfTrue="1">
      <formula>#REF!=$C$2</formula>
    </cfRule>
    <cfRule type="expression" priority="985" dxfId="477" stopIfTrue="1">
      <formula>#REF!&lt;&gt;"Serviço"</formula>
    </cfRule>
    <cfRule type="expression" priority="986" dxfId="187" stopIfTrue="1">
      <formula>OR(CELL("proteger",L77),#REF!="",TipoOrçamento="Licitado")</formula>
    </cfRule>
  </conditionalFormatting>
  <conditionalFormatting sqref="L77">
    <cfRule type="expression" priority="987" dxfId="478" stopIfTrue="1">
      <formula>#REF!=$C$2</formula>
    </cfRule>
    <cfRule type="expression" priority="988" dxfId="477" stopIfTrue="1">
      <formula>#REF!&lt;&gt;"Serviço"</formula>
    </cfRule>
    <cfRule type="expression" priority="989" dxfId="187" stopIfTrue="1">
      <formula>OR(CELL("proteger",L77),#REF!="",TipoOrçamento="Licitado")</formula>
    </cfRule>
  </conditionalFormatting>
  <conditionalFormatting sqref="J101">
    <cfRule type="expression" priority="977" dxfId="187" stopIfTrue="1">
      <formula>TipoOrçamento="Licitado"</formula>
    </cfRule>
  </conditionalFormatting>
  <conditionalFormatting sqref="J81">
    <cfRule type="expression" priority="956" dxfId="187" stopIfTrue="1">
      <formula>TipoOrçamento="Licitado"</formula>
    </cfRule>
  </conditionalFormatting>
  <conditionalFormatting sqref="L81">
    <cfRule type="expression" priority="930" dxfId="478" stopIfTrue="1">
      <formula>#REF!=$C$2</formula>
    </cfRule>
    <cfRule type="expression" priority="931" dxfId="477" stopIfTrue="1">
      <formula>#REF!&lt;&gt;"Serviço"</formula>
    </cfRule>
    <cfRule type="expression" priority="932" dxfId="187" stopIfTrue="1">
      <formula>OR(CELL("proteger",L81),#REF!="",TipoOrçamento="Licitado")</formula>
    </cfRule>
  </conditionalFormatting>
  <conditionalFormatting sqref="L81">
    <cfRule type="expression" priority="933" dxfId="478" stopIfTrue="1">
      <formula>#REF!=$C$2</formula>
    </cfRule>
    <cfRule type="expression" priority="934" dxfId="477" stopIfTrue="1">
      <formula>#REF!&lt;&gt;"Serviço"</formula>
    </cfRule>
    <cfRule type="expression" priority="935" dxfId="187" stopIfTrue="1">
      <formula>OR(CELL("proteger",L81),#REF!="",TipoOrçamento="Licitado")</formula>
    </cfRule>
  </conditionalFormatting>
  <conditionalFormatting sqref="J39:J40 J43:J44">
    <cfRule type="expression" priority="929" dxfId="187" stopIfTrue="1">
      <formula>TipoOrçamento="Licitado"</formula>
    </cfRule>
  </conditionalFormatting>
  <conditionalFormatting sqref="J41:J42">
    <cfRule type="expression" priority="908" dxfId="187" stopIfTrue="1">
      <formula>TipoOrçamento="Licitado"</formula>
    </cfRule>
  </conditionalFormatting>
  <conditionalFormatting sqref="J117:J119">
    <cfRule type="expression" priority="767" dxfId="187" stopIfTrue="1">
      <formula>TipoOrçamento="Licitado"</formula>
    </cfRule>
  </conditionalFormatting>
  <conditionalFormatting sqref="J120:J121">
    <cfRule type="expression" priority="743" dxfId="187" stopIfTrue="1">
      <formula>TipoOrçamento="Licitado"</formula>
    </cfRule>
  </conditionalFormatting>
  <conditionalFormatting sqref="J112:J113">
    <cfRule type="expression" priority="719" dxfId="187" stopIfTrue="1">
      <formula>TipoOrçamento="Licitado"</formula>
    </cfRule>
  </conditionalFormatting>
  <conditionalFormatting sqref="J19">
    <cfRule type="expression" priority="638" dxfId="187" stopIfTrue="1">
      <formula>TipoOrçamento="Licitado"</formula>
    </cfRule>
  </conditionalFormatting>
  <conditionalFormatting sqref="J86:J89 J91">
    <cfRule type="expression" priority="617" dxfId="187" stopIfTrue="1">
      <formula>TipoOrçamento="Licitado"</formula>
    </cfRule>
  </conditionalFormatting>
  <conditionalFormatting sqref="J92:J95">
    <cfRule type="expression" priority="596" dxfId="187" stopIfTrue="1">
      <formula>TipoOrçamento="Licitado"</formula>
    </cfRule>
  </conditionalFormatting>
  <conditionalFormatting sqref="J90">
    <cfRule type="expression" priority="563" dxfId="187" stopIfTrue="1">
      <formula>TipoOrçamento="Licitado"</formula>
    </cfRule>
  </conditionalFormatting>
  <conditionalFormatting sqref="J76">
    <cfRule type="expression" priority="542" dxfId="187" stopIfTrue="1">
      <formula>TipoOrçamento="Licitado"</formula>
    </cfRule>
  </conditionalFormatting>
  <conditionalFormatting sqref="J48">
    <cfRule type="expression" priority="521" dxfId="187" stopIfTrue="1">
      <formula>TipoOrçamento="Licitado"</formula>
    </cfRule>
  </conditionalFormatting>
  <conditionalFormatting sqref="J70">
    <cfRule type="expression" priority="500" dxfId="187" stopIfTrue="1">
      <formula>TipoOrçamento="Licitado"</formula>
    </cfRule>
  </conditionalFormatting>
  <conditionalFormatting sqref="L70">
    <cfRule type="expression" priority="474" dxfId="478" stopIfTrue="1">
      <formula>#REF!=$C$2</formula>
    </cfRule>
    <cfRule type="expression" priority="475" dxfId="477" stopIfTrue="1">
      <formula>#REF!&lt;&gt;"Serviço"</formula>
    </cfRule>
    <cfRule type="expression" priority="476" dxfId="187" stopIfTrue="1">
      <formula>OR(CELL("proteger",L70),#REF!="",TipoOrçamento="Licitado")</formula>
    </cfRule>
  </conditionalFormatting>
  <conditionalFormatting sqref="J105">
    <cfRule type="expression" priority="452" dxfId="187" stopIfTrue="1">
      <formula>TipoOrçamento="Licitado"</formula>
    </cfRule>
  </conditionalFormatting>
  <conditionalFormatting sqref="J104">
    <cfRule type="expression" priority="428" dxfId="187" stopIfTrue="1">
      <formula>TipoOrçamento="Licitado"</formula>
    </cfRule>
  </conditionalFormatting>
  <conditionalFormatting sqref="K33">
    <cfRule type="expression" priority="370" dxfId="0" stopIfTrue="1">
      <formula>$J33=$C$2</formula>
    </cfRule>
    <cfRule type="expression" priority="371" dxfId="139" stopIfTrue="1">
      <formula>AND($J33&lt;&gt;"",$J33&lt;&gt;"Serviço")</formula>
    </cfRule>
    <cfRule type="expression" priority="372" dxfId="138" stopIfTrue="1">
      <formula>$J33=""</formula>
    </cfRule>
  </conditionalFormatting>
  <conditionalFormatting sqref="P33">
    <cfRule type="expression" priority="363" dxfId="493" stopIfTrue="1">
      <formula>$J33=$C$2</formula>
    </cfRule>
    <cfRule type="expression" priority="373" dxfId="492" stopIfTrue="1">
      <formula>AND($J33&lt;&gt;"Serviço")</formula>
    </cfRule>
    <cfRule type="expression" priority="374" dxfId="491" stopIfTrue="1">
      <formula>CELL("proteger",P33)</formula>
    </cfRule>
  </conditionalFormatting>
  <conditionalFormatting sqref="Q33:R33">
    <cfRule type="expression" priority="375" dxfId="478" stopIfTrue="1">
      <formula>$J33=$C$2</formula>
    </cfRule>
    <cfRule type="expression" priority="376" dxfId="477" stopIfTrue="1">
      <formula>$J33&lt;&gt;"Serviço"</formula>
    </cfRule>
    <cfRule type="expression" priority="377" dxfId="187" stopIfTrue="1">
      <formula>CELL("proteger",Q33)</formula>
    </cfRule>
  </conditionalFormatting>
  <conditionalFormatting sqref="S33:T33 Y33:Z33">
    <cfRule type="expression" priority="378" dxfId="0" stopIfTrue="1">
      <formula>$J33=$C$2</formula>
    </cfRule>
    <cfRule type="expression" priority="379" dxfId="139" stopIfTrue="1">
      <formula>$J33&lt;&gt;"Serviço"</formula>
    </cfRule>
  </conditionalFormatting>
  <conditionalFormatting sqref="J33">
    <cfRule type="expression" priority="383" dxfId="187" stopIfTrue="1">
      <formula>TipoOrçamento="Licitado"</formula>
    </cfRule>
  </conditionalFormatting>
  <conditionalFormatting sqref="O33">
    <cfRule type="expression" priority="364" dxfId="478" stopIfTrue="1">
      <formula>$J33=$C$2</formula>
    </cfRule>
    <cfRule type="expression" priority="365" dxfId="477" stopIfTrue="1">
      <formula>AND($J33&lt;&gt;"Serviço")</formula>
    </cfRule>
    <cfRule type="expression" priority="366" dxfId="187" stopIfTrue="1">
      <formula>CELL("proteger",O33)</formula>
    </cfRule>
  </conditionalFormatting>
  <conditionalFormatting sqref="N33">
    <cfRule type="expression" priority="367" dxfId="481" stopIfTrue="1">
      <formula>$J33=$C$2</formula>
    </cfRule>
    <cfRule type="expression" priority="368" dxfId="139" stopIfTrue="1">
      <formula>$J33&lt;&gt;"Serviço"</formula>
    </cfRule>
    <cfRule type="expression" priority="369" dxfId="187" stopIfTrue="1">
      <formula>CELL("proteger",N33)</formula>
    </cfRule>
  </conditionalFormatting>
  <conditionalFormatting sqref="L33">
    <cfRule type="expression" priority="360" dxfId="478" stopIfTrue="1">
      <formula>$J33=$C$2</formula>
    </cfRule>
    <cfRule type="expression" priority="361" dxfId="477" stopIfTrue="1">
      <formula>$J33&lt;&gt;"Serviço"</formula>
    </cfRule>
    <cfRule type="expression" priority="362" dxfId="187" stopIfTrue="1">
      <formula>OR(CELL("proteger",L33),$J33="",TipoOrçamento="Licitado")</formula>
    </cfRule>
  </conditionalFormatting>
  <conditionalFormatting sqref="M33">
    <cfRule type="expression" priority="359" dxfId="473" stopIfTrue="1">
      <formula>OR($H33="M",$H33="A")</formula>
    </cfRule>
  </conditionalFormatting>
  <conditionalFormatting sqref="M33">
    <cfRule type="expression" priority="358" dxfId="473" stopIfTrue="1">
      <formula>OR($H33="M",$H33="A")</formula>
    </cfRule>
  </conditionalFormatting>
  <conditionalFormatting sqref="M33">
    <cfRule type="expression" priority="357" dxfId="473" stopIfTrue="1">
      <formula>OR($H33="M",$H33="A")</formula>
    </cfRule>
  </conditionalFormatting>
  <conditionalFormatting sqref="J133">
    <cfRule type="expression" priority="314" dxfId="187" stopIfTrue="1">
      <formula>TipoOrçamento="Licitado"</formula>
    </cfRule>
  </conditionalFormatting>
  <conditionalFormatting sqref="J51">
    <cfRule type="expression" priority="293" dxfId="187" stopIfTrue="1">
      <formula>TipoOrçamento="Licitado"</formula>
    </cfRule>
  </conditionalFormatting>
  <conditionalFormatting sqref="J61">
    <cfRule type="expression" priority="251" dxfId="187" stopIfTrue="1">
      <formula>TipoOrçamento="Licitado"</formula>
    </cfRule>
  </conditionalFormatting>
  <conditionalFormatting sqref="J71">
    <cfRule type="expression" priority="230" dxfId="187" stopIfTrue="1">
      <formula>TipoOrçamento="Licitado"</formula>
    </cfRule>
  </conditionalFormatting>
  <conditionalFormatting sqref="J109">
    <cfRule type="expression" priority="209" dxfId="187" stopIfTrue="1">
      <formula>TipoOrçamento="Licitado"</formula>
    </cfRule>
  </conditionalFormatting>
  <conditionalFormatting sqref="J110">
    <cfRule type="expression" priority="185" dxfId="187" stopIfTrue="1">
      <formula>TipoOrçamento="Licitado"</formula>
    </cfRule>
  </conditionalFormatting>
  <conditionalFormatting sqref="J122:J126">
    <cfRule type="expression" priority="119" dxfId="187" stopIfTrue="1">
      <formula>TipoOrçamento="Licitado"</formula>
    </cfRule>
  </conditionalFormatting>
  <dataValidations count="3" xWindow="76" yWindow="619">
    <dataValidation type="decimal" operator="greaterThan" allowBlank="1" showInputMessage="1" showErrorMessage="1" error="Apenas números decimais maiores que zero." sqref="Q11 Q13:Q133">
      <formula1>0</formula1>
    </dataValidation>
    <dataValidation errorStyle="warning" type="list" allowBlank="1" showInputMessage="1" showErrorMessage="1" error="Selecione um dos 5 BDI da lista._x000a__x000a_Caso tenha mais de 5 BDI nesta Planilha Orçamentária digite apenas valor percentual." sqref="R11 R13:R133">
      <formula1>Dados.Lista.BDI</formula1>
    </dataValidation>
    <dataValidation type="list" showInputMessage="1" showErrorMessage="1" promptTitle="Nível:" prompt="Selecione na lista o nível de itemização da Planilha." errorTitle="Erro de Entrada" error="Selecione somente os itens da lista." sqref="J11 J14:J133">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v007   micro&amp;R&amp;P</oddFooter>
  </headerFooter>
  <ignoredErrors>
    <ignoredError sqref="K145" unlocked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FF00"/>
  </sheetPr>
  <dimension ref="A1:BI140"/>
  <sheetViews>
    <sheetView showGridLines="0" zoomScale="85" zoomScaleNormal="85" zoomScaleSheetLayoutView="100" workbookViewId="0" topLeftCell="A1">
      <pane xSplit="5" ySplit="10" topLeftCell="F131" activePane="bottomRight" state="frozen"/>
      <selection pane="topRight" activeCell="A1" sqref="A1"/>
      <selection pane="bottomLeft" activeCell="A1" sqref="A1"/>
      <selection pane="bottomRight" activeCell="F132" sqref="F132"/>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55" width="11.7109375" style="0" customWidth="1"/>
    <col min="56" max="56" width="0.85546875" style="0" customWidth="1"/>
    <col min="61" max="61" width="11.7109375" style="0" hidden="1" customWidth="1"/>
  </cols>
  <sheetData>
    <row r="1" spans="5:55" s="4" customFormat="1" ht="17.25" customHeight="1">
      <c r="E1" s="85" t="s">
        <v>63</v>
      </c>
      <c r="F1" s="36" t="s">
        <v>64</v>
      </c>
      <c r="K1" s="18"/>
      <c r="O1"/>
      <c r="P1" s="36" t="s">
        <v>64</v>
      </c>
      <c r="U1" s="18"/>
      <c r="Y1"/>
      <c r="Z1" s="36" t="s">
        <v>64</v>
      </c>
      <c r="AE1" s="18"/>
      <c r="AI1"/>
      <c r="AJ1" s="36" t="s">
        <v>64</v>
      </c>
      <c r="AO1" s="18"/>
      <c r="AS1"/>
      <c r="AT1" s="36" t="s">
        <v>64</v>
      </c>
      <c r="AY1" s="18"/>
      <c r="BC1"/>
    </row>
    <row r="2" spans="4:55" s="4" customFormat="1" ht="15.75">
      <c r="D2" s="6"/>
      <c r="E2" s="85"/>
      <c r="F2" s="36"/>
      <c r="K2" s="19"/>
      <c r="O2"/>
      <c r="P2" s="36"/>
      <c r="U2" s="19"/>
      <c r="Y2"/>
      <c r="Z2" s="36"/>
      <c r="AE2" s="19"/>
      <c r="AI2"/>
      <c r="AJ2" s="36"/>
      <c r="AO2" s="19"/>
      <c r="AS2"/>
      <c r="AT2" s="36"/>
      <c r="AY2" s="19"/>
      <c r="BC2"/>
    </row>
    <row r="3" spans="11:56" s="4" customFormat="1" ht="12.75">
      <c r="K3" s="20"/>
      <c r="U3" s="20"/>
      <c r="AE3" s="20"/>
      <c r="AO3" s="20"/>
      <c r="AY3" s="20"/>
      <c r="BD3" s="20"/>
    </row>
    <row r="4" s="4" customFormat="1" ht="39.95" customHeight="1">
      <c r="BD4" s="20"/>
    </row>
    <row r="5" s="4" customFormat="1" ht="39.95" customHeight="1">
      <c r="BD5" s="20"/>
    </row>
    <row r="6" s="4" customFormat="1" ht="20.25" customHeight="1">
      <c r="BD6" s="20"/>
    </row>
    <row r="7" spans="5:56" s="4" customFormat="1" ht="12.75" customHeight="1" hidden="1">
      <c r="E7" s="224">
        <f ca="1">OFFSET(PO!$P$12,ROW($E7)-ROW(E$12),0)</f>
        <v>0</v>
      </c>
      <c r="BD7" s="20"/>
    </row>
    <row r="8" s="4" customFormat="1" ht="9.95" customHeight="1">
      <c r="BD8" s="20"/>
    </row>
    <row r="9" spans="2:61" s="4" customFormat="1" ht="60" customHeight="1">
      <c r="B9" s="17"/>
      <c r="C9" s="14"/>
      <c r="D9" s="9"/>
      <c r="E9" s="146" t="s">
        <v>46</v>
      </c>
      <c r="F9" s="401">
        <v>1</v>
      </c>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I9" s="122"/>
    </row>
    <row r="10" spans="1:61" s="15" customFormat="1" ht="30" customHeight="1">
      <c r="A10" s="123" t="s">
        <v>3</v>
      </c>
      <c r="B10" s="123" t="s">
        <v>147</v>
      </c>
      <c r="C10" s="123" t="s">
        <v>142</v>
      </c>
      <c r="D10" s="124" t="s">
        <v>158</v>
      </c>
      <c r="E10" s="123" t="s">
        <v>148</v>
      </c>
      <c r="F10" s="125">
        <f aca="true" ca="1" t="shared" si="0" ref="F10:BC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P10" s="125">
        <f ca="1" t="shared" si="0"/>
        <v>11</v>
      </c>
      <c r="Q10" s="125">
        <f ca="1" t="shared" si="0"/>
        <v>12</v>
      </c>
      <c r="R10" s="125">
        <f ca="1" t="shared" si="0"/>
        <v>13</v>
      </c>
      <c r="S10" s="125">
        <f ca="1" t="shared" si="0"/>
        <v>14</v>
      </c>
      <c r="T10" s="125">
        <f ca="1" t="shared" si="0"/>
        <v>15</v>
      </c>
      <c r="U10" s="125">
        <f ca="1" t="shared" si="0"/>
        <v>16</v>
      </c>
      <c r="V10" s="125">
        <f ca="1" t="shared" si="0"/>
        <v>17</v>
      </c>
      <c r="W10" s="125">
        <f ca="1" t="shared" si="0"/>
        <v>18</v>
      </c>
      <c r="X10" s="125">
        <f ca="1" t="shared" si="0"/>
        <v>19</v>
      </c>
      <c r="Y10" s="125">
        <f ca="1" t="shared" si="0"/>
        <v>20</v>
      </c>
      <c r="Z10" s="125">
        <f ca="1" t="shared" si="0"/>
        <v>21</v>
      </c>
      <c r="AA10" s="125">
        <f ca="1" t="shared" si="0"/>
        <v>22</v>
      </c>
      <c r="AB10" s="125">
        <f ca="1" t="shared" si="0"/>
        <v>23</v>
      </c>
      <c r="AC10" s="125">
        <f ca="1" t="shared" si="0"/>
        <v>24</v>
      </c>
      <c r="AD10" s="125">
        <f ca="1" t="shared" si="0"/>
        <v>25</v>
      </c>
      <c r="AE10" s="125">
        <f ca="1" t="shared" si="0"/>
        <v>26</v>
      </c>
      <c r="AF10" s="125">
        <f ca="1" t="shared" si="0"/>
        <v>27</v>
      </c>
      <c r="AG10" s="125">
        <f ca="1" t="shared" si="0"/>
        <v>28</v>
      </c>
      <c r="AH10" s="125">
        <f ca="1" t="shared" si="0"/>
        <v>29</v>
      </c>
      <c r="AI10" s="125">
        <f ca="1" t="shared" si="0"/>
        <v>30</v>
      </c>
      <c r="AJ10" s="125">
        <f ca="1" t="shared" si="0"/>
        <v>31</v>
      </c>
      <c r="AK10" s="125">
        <f ca="1" t="shared" si="0"/>
        <v>32</v>
      </c>
      <c r="AL10" s="125">
        <f ca="1" t="shared" si="0"/>
        <v>33</v>
      </c>
      <c r="AM10" s="125">
        <f ca="1" t="shared" si="0"/>
        <v>34</v>
      </c>
      <c r="AN10" s="125">
        <f ca="1" t="shared" si="0"/>
        <v>35</v>
      </c>
      <c r="AO10" s="125">
        <f ca="1" t="shared" si="0"/>
        <v>36</v>
      </c>
      <c r="AP10" s="125">
        <f ca="1" t="shared" si="0"/>
        <v>37</v>
      </c>
      <c r="AQ10" s="125">
        <f ca="1" t="shared" si="0"/>
        <v>38</v>
      </c>
      <c r="AR10" s="125">
        <f ca="1" t="shared" si="0"/>
        <v>39</v>
      </c>
      <c r="AS10" s="125">
        <f ca="1" t="shared" si="0"/>
        <v>40</v>
      </c>
      <c r="AT10" s="125">
        <f ca="1" t="shared" si="0"/>
        <v>41</v>
      </c>
      <c r="AU10" s="125">
        <f ca="1" t="shared" si="0"/>
        <v>42</v>
      </c>
      <c r="AV10" s="125">
        <f ca="1" t="shared" si="0"/>
        <v>43</v>
      </c>
      <c r="AW10" s="125">
        <f ca="1" t="shared" si="0"/>
        <v>44</v>
      </c>
      <c r="AX10" s="125">
        <f ca="1" t="shared" si="0"/>
        <v>45</v>
      </c>
      <c r="AY10" s="125">
        <f ca="1" t="shared" si="0"/>
        <v>46</v>
      </c>
      <c r="AZ10" s="125">
        <f ca="1" t="shared" si="0"/>
        <v>47</v>
      </c>
      <c r="BA10" s="125">
        <f ca="1" t="shared" si="0"/>
        <v>48</v>
      </c>
      <c r="BB10" s="125">
        <f ca="1" t="shared" si="0"/>
        <v>49</v>
      </c>
      <c r="BC10" s="125">
        <f ca="1" t="shared" si="0"/>
        <v>50</v>
      </c>
      <c r="BI10" s="125">
        <f ca="1">IF(OFFSET(BI10,0,-1)="Quantidade",1,OFFSET(BI10,0,-1)+1)</f>
        <v>1</v>
      </c>
    </row>
    <row r="11" spans="1:6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IF($A11&lt;&gt;"Serviço",0,ROUND(SUMIF($F$9:$BD$9,"&lt;&gt;",$F11:$BD11),15-13*PO!$X$3))</f>
        <v>0</v>
      </c>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I11" s="215"/>
    </row>
    <row r="12" spans="1:61" s="4" customFormat="1" ht="12.75">
      <c r="A12" s="76" t="str">
        <f>PO!J12</f>
        <v>CTEF</v>
      </c>
      <c r="B12" s="76"/>
      <c r="C12" s="76">
        <f>PO!N12</f>
        <v>0</v>
      </c>
      <c r="D12" s="76"/>
      <c r="E12" s="216"/>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I12" s="217"/>
    </row>
    <row r="13" spans="1:61" s="4" customFormat="1" ht="12.75">
      <c r="A13" s="126" t="str">
        <f ca="1">OFFSET(PO!J$12,ROW(A13)-ROW($A$12),0)</f>
        <v>Meta</v>
      </c>
      <c r="B13" s="130" t="str">
        <f ca="1">IF($A13=0,"",OFFSET(PO!K$12,ROW(B13)-ROW(B$12),0))</f>
        <v>1.</v>
      </c>
      <c r="C13" s="127" t="str">
        <f ca="1">IF(OFFSET(PO!N$12,ROW(C13)-ROW(C$12),0)=0,"",OFFSET(PO!N$12,ROW(C13)-ROW(C$12),0))</f>
        <v>SERVIÇOS PRELIMINARES</v>
      </c>
      <c r="D13" s="129" t="str">
        <f ca="1">IF(OFFSET(PO!O$12,ROW(D13)-ROW(D$12),0)=0,"",OFFSET(PO!O$12,ROW(D13)-ROW(D$12),0))</f>
        <v/>
      </c>
      <c r="E13" s="165">
        <f ca="1">IF($A13&lt;&gt;"Serviço",0,ROUND(SUMIF($F$9:$BD$9,"&lt;&gt;",$F13:$BD13),15-13*PO!$X$3))</f>
        <v>0</v>
      </c>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I13" s="215"/>
    </row>
    <row r="14" spans="1:61" s="4" customFormat="1" ht="38.25">
      <c r="A14" s="128" t="str">
        <f ca="1">OFFSET(PO!J$12,ROW(A14)-ROW($A$12),0)</f>
        <v>Serviço</v>
      </c>
      <c r="B14" s="130" t="str">
        <f ca="1">IF($A14=0,"",OFFSET(PO!K$12,ROW(B14)-ROW(B$12),0))</f>
        <v>1.0.1.</v>
      </c>
      <c r="C14" s="127" t="str">
        <f ca="1">IF(OFFSET(PO!N$12,ROW(C14)-ROW(C$12),0)=0,"",OFFSET(PO!N$12,ROW(C14)-ROW(C$12),0))</f>
        <v>PLACA DE OBRA (PARA CONSTRUCAO CIVIL) EM CHAPA GALVANIZADA *N. 22*, ADESIVADA, DE *2,4 X 1,2* M (SEM POSTES PARA FIXACAO)</v>
      </c>
      <c r="D14" s="129" t="str">
        <f ca="1">IF(OFFSET(PO!O$12,ROW(D14)-ROW(D$12),0)=0,"",OFFSET(PO!O$12,ROW(D14)-ROW(D$12),0))</f>
        <v xml:space="preserve">M2    </v>
      </c>
      <c r="E14" s="165">
        <f ca="1">IF($A14&lt;&gt;"Serviço",0,ROUND(SUMIF($F$9:$BD$9,"&lt;&gt;",$F14:$BD14),15-13*PO!$X$3))</f>
        <v>4.5</v>
      </c>
      <c r="F14" s="400">
        <f>(3*1.5)</f>
        <v>4.5</v>
      </c>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I14" s="215"/>
    </row>
    <row r="15" spans="1:61" s="4" customFormat="1" ht="38.25">
      <c r="A15" s="128" t="str">
        <f ca="1">OFFSET(PO!J$12,ROW(A15)-ROW($A$12),0)</f>
        <v>Serviço</v>
      </c>
      <c r="B15" s="130" t="str">
        <f ca="1">IF($A15=0,"",OFFSET(PO!K$12,ROW(B15)-ROW(B$12),0))</f>
        <v>1.0.2.</v>
      </c>
      <c r="C15" s="127" t="str">
        <f ca="1">IF(OFFSET(PO!N$12,ROW(C15)-ROW(C$12),0)=0,"",OFFSET(PO!N$12,ROW(C15)-ROW(C$12),0))</f>
        <v>LOCACAO CONVENCIONAL DE OBRA, UTILIZANDO GABARITO DE TÁBUAS CORRIDAS PONTALETADAS A CADA 2,00M -  2 UTILIZAÇÕES. AF_10/2018</v>
      </c>
      <c r="D15" s="129" t="str">
        <f ca="1">IF(OFFSET(PO!O$12,ROW(D15)-ROW(D$12),0)=0,"",OFFSET(PO!O$12,ROW(D15)-ROW(D$12),0))</f>
        <v>M</v>
      </c>
      <c r="E15" s="165">
        <f ca="1">IF($A15&lt;&gt;"Serviço",0,ROUND(SUMIF($F$9:$BD$9,"&lt;&gt;",$F15:$BD15),15-13*PO!$X$3))</f>
        <v>140</v>
      </c>
      <c r="F15" s="400">
        <v>140</v>
      </c>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I15" s="215"/>
    </row>
    <row r="16" spans="1:61" s="4" customFormat="1" ht="12.75">
      <c r="A16" s="128" t="str">
        <f ca="1">OFFSET(PO!J$12,ROW(A16)-ROW($A$12),0)</f>
        <v>Meta</v>
      </c>
      <c r="B16" s="130" t="str">
        <f ca="1">IF($A16=0,"",OFFSET(PO!K$12,ROW(B16)-ROW(B$12),0))</f>
        <v>2.</v>
      </c>
      <c r="C16" s="127" t="str">
        <f ca="1">IF(OFFSET(PO!N$12,ROW(C16)-ROW(C$12),0)=0,"",OFFSET(PO!N$12,ROW(C16)-ROW(C$12),0))</f>
        <v xml:space="preserve"> EXECUÇÃO DA ESTRUTURA EM CONCRETO ARMADO</v>
      </c>
      <c r="D16" s="129" t="str">
        <f ca="1">IF(OFFSET(PO!O$12,ROW(D16)-ROW(D$12),0)=0,"",OFFSET(PO!O$12,ROW(D16)-ROW(D$12),0))</f>
        <v/>
      </c>
      <c r="E16" s="165">
        <f ca="1">IF($A16&lt;&gt;"Serviço",0,ROUND(SUMIF($F$9:$BD$9,"&lt;&gt;",$F16:$BD16),15-13*PO!$X$3))</f>
        <v>0</v>
      </c>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I16" s="215"/>
    </row>
    <row r="17" spans="1:61" s="4" customFormat="1" ht="12.75">
      <c r="A17" s="128" t="str">
        <f ca="1">OFFSET(PO!J$12,ROW(A17)-ROW($A$12),0)</f>
        <v>Nível 2</v>
      </c>
      <c r="B17" s="130" t="str">
        <f ca="1">IF($A17=0,"",OFFSET(PO!K$12,ROW(B17)-ROW(B$12),0))</f>
        <v>2.1.</v>
      </c>
      <c r="C17" s="127" t="str">
        <f ca="1">IF(OFFSET(PO!N$12,ROW(C17)-ROW(C$12),0)=0,"",OFFSET(PO!N$12,ROW(C17)-ROW(C$12),0))</f>
        <v>EXECUÇÃO DE SAPATA EM CONCRETO ARMADO</v>
      </c>
      <c r="D17" s="129" t="str">
        <f ca="1">IF(OFFSET(PO!O$12,ROW(D17)-ROW(D$12),0)=0,"",OFFSET(PO!O$12,ROW(D17)-ROW(D$12),0))</f>
        <v/>
      </c>
      <c r="E17" s="165">
        <f ca="1">IF($A17&lt;&gt;"Serviço",0,ROUND(SUMIF($F$9:$BD$9,"&lt;&gt;",$F17:$BD17),15-13*PO!$X$3))</f>
        <v>0</v>
      </c>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I17" s="215"/>
    </row>
    <row r="18" spans="1:61" s="4" customFormat="1" ht="25.5">
      <c r="A18" s="128" t="str">
        <f ca="1">OFFSET(PO!J$12,ROW(A18)-ROW($A$12),0)</f>
        <v>Serviço</v>
      </c>
      <c r="B18" s="130" t="str">
        <f ca="1">IF($A18=0,"",OFFSET(PO!K$12,ROW(B18)-ROW(B$12),0))</f>
        <v>2.1.1.</v>
      </c>
      <c r="C18" s="127" t="str">
        <f ca="1">IF(OFFSET(PO!N$12,ROW(C18)-ROW(C$12),0)=0,"",OFFSET(PO!N$12,ROW(C18)-ROW(C$12),0))</f>
        <v>ESCAVAÇÃO MANUAL DE VALA COM PROFUNDIDADE MENOR OU IGUAL A 1,30 M. AF_02/2021</v>
      </c>
      <c r="D18" s="129" t="str">
        <f ca="1">IF(OFFSET(PO!O$12,ROW(D18)-ROW(D$12),0)=0,"",OFFSET(PO!O$12,ROW(D18)-ROW(D$12),0))</f>
        <v>M3</v>
      </c>
      <c r="E18" s="165">
        <f ca="1">IF($A18&lt;&gt;"Serviço",0,ROUND(SUMIF($F$9:$BD$9,"&lt;&gt;",$F18:$BD18),15-13*PO!$X$3))</f>
        <v>8.95</v>
      </c>
      <c r="F18" s="400">
        <v>8.95</v>
      </c>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I18" s="215"/>
    </row>
    <row r="19" spans="1:61" s="4" customFormat="1" ht="25.5">
      <c r="A19" s="128" t="str">
        <f ca="1">OFFSET(PO!J$12,ROW(A19)-ROW($A$12),0)</f>
        <v>Serviço</v>
      </c>
      <c r="B19" s="130" t="str">
        <f ca="1">IF($A19=0,"",OFFSET(PO!K$12,ROW(B19)-ROW(B$12),0))</f>
        <v>2.1.2.</v>
      </c>
      <c r="C19" s="127" t="str">
        <f ca="1">IF(OFFSET(PO!N$12,ROW(C19)-ROW(C$12),0)=0,"",OFFSET(PO!N$12,ROW(C19)-ROW(C$12),0))</f>
        <v>LASTRO DE CONCRETO MAGRO, APLICADO EM PISOS, LAJES SOBRE SOLO OU RADIERS, ESPESSURA DE 3 CM. AF_07/2016</v>
      </c>
      <c r="D19" s="129" t="str">
        <f ca="1">IF(OFFSET(PO!O$12,ROW(D19)-ROW(D$12),0)=0,"",OFFSET(PO!O$12,ROW(D19)-ROW(D$12),0))</f>
        <v>M2</v>
      </c>
      <c r="E19" s="165">
        <f ca="1">IF($A19&lt;&gt;"Serviço",0,ROUND(SUMIF($F$9:$BD$9,"&lt;&gt;",$F19:$BD19),15-13*PO!$X$3))</f>
        <v>25.56</v>
      </c>
      <c r="F19" s="400">
        <v>25.56</v>
      </c>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I19" s="215"/>
    </row>
    <row r="20" spans="1:61" s="4" customFormat="1" ht="25.5">
      <c r="A20" s="128" t="str">
        <f ca="1">OFFSET(PO!J$12,ROW(A20)-ROW($A$12),0)</f>
        <v>Serviço</v>
      </c>
      <c r="B20" s="130" t="str">
        <f ca="1">IF($A20=0,"",OFFSET(PO!K$12,ROW(B20)-ROW(B$12),0))</f>
        <v>2.1.3.</v>
      </c>
      <c r="C20" s="127" t="str">
        <f ca="1">IF(OFFSET(PO!N$12,ROW(C20)-ROW(C$12),0)=0,"",OFFSET(PO!N$12,ROW(C20)-ROW(C$12),0))</f>
        <v>CORTE E DOBRA DE AÇO CA-50, DIÂMETRO DE 8,0 MM. AF_06/2022</v>
      </c>
      <c r="D20" s="129" t="str">
        <f ca="1">IF(OFFSET(PO!O$12,ROW(D20)-ROW(D$12),0)=0,"",OFFSET(PO!O$12,ROW(D20)-ROW(D$12),0))</f>
        <v>KG</v>
      </c>
      <c r="E20" s="165">
        <f ca="1">IF($A20&lt;&gt;"Serviço",0,ROUND(SUMIF($F$9:$BD$9,"&lt;&gt;",$F20:$BD20),15-13*PO!$X$3))</f>
        <v>268.4</v>
      </c>
      <c r="F20" s="400">
        <v>268.4</v>
      </c>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I20" s="215"/>
    </row>
    <row r="21" spans="1:61" s="4" customFormat="1" ht="38.25">
      <c r="A21" s="128" t="str">
        <f ca="1">OFFSET(PO!J$12,ROW(A21)-ROW($A$12),0)</f>
        <v>Serviço</v>
      </c>
      <c r="B21" s="130" t="str">
        <f ca="1">IF($A21=0,"",OFFSET(PO!K$12,ROW(B21)-ROW(B$12),0))</f>
        <v>2.1.4.</v>
      </c>
      <c r="C21" s="127" t="str">
        <f ca="1">IF(OFFSET(PO!N$12,ROW(C21)-ROW(C$12),0)=0,"",OFFSET(PO!N$12,ROW(C21)-ROW(C$12),0))</f>
        <v>CONCRETAGEM DE SAPATAS, FCK 30 MPA, COM USO DE BOMBA  LANÇAMENTO, ADENSAMENTO E ACABAMENTO. AF_11/2016</v>
      </c>
      <c r="D21" s="129" t="str">
        <f ca="1">IF(OFFSET(PO!O$12,ROW(D21)-ROW(D$12),0)=0,"",OFFSET(PO!O$12,ROW(D21)-ROW(D$12),0))</f>
        <v>M3</v>
      </c>
      <c r="E21" s="165">
        <f ca="1">IF($A21&lt;&gt;"Serviço",0,ROUND(SUMIF($F$9:$BD$9,"&lt;&gt;",$F21:$BD21),15-13*PO!$X$3))</f>
        <v>7.67</v>
      </c>
      <c r="F21" s="400">
        <v>7.67</v>
      </c>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I21" s="215"/>
    </row>
    <row r="22" spans="1:61" s="4" customFormat="1" ht="12.75">
      <c r="A22" s="128" t="str">
        <f ca="1">OFFSET(PO!J$12,ROW(A22)-ROW($A$12),0)</f>
        <v>Nível 2</v>
      </c>
      <c r="B22" s="130" t="str">
        <f ca="1">IF($A22=0,"",OFFSET(PO!K$12,ROW(B22)-ROW(B$12),0))</f>
        <v>2.2.</v>
      </c>
      <c r="C22" s="127" t="str">
        <f ca="1">IF(OFFSET(PO!N$12,ROW(C22)-ROW(C$12),0)=0,"",OFFSET(PO!N$12,ROW(C22)-ROW(C$12),0))</f>
        <v>EXECUÇÃO DE PILAR EM CONCRETO ARMADO</v>
      </c>
      <c r="D22" s="129" t="str">
        <f ca="1">IF(OFFSET(PO!O$12,ROW(D22)-ROW(D$12),0)=0,"",OFFSET(PO!O$12,ROW(D22)-ROW(D$12),0))</f>
        <v/>
      </c>
      <c r="E22" s="165">
        <f ca="1">IF($A22&lt;&gt;"Serviço",0,ROUND(SUMIF($F$9:$BD$9,"&lt;&gt;",$F22:$BD22),15-13*PO!$X$3))</f>
        <v>0</v>
      </c>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I22" s="215"/>
    </row>
    <row r="23" spans="1:61" s="4" customFormat="1" ht="38.25">
      <c r="A23" s="128" t="str">
        <f ca="1">OFFSET(PO!J$12,ROW(A23)-ROW($A$12),0)</f>
        <v>Serviço</v>
      </c>
      <c r="B23" s="130" t="str">
        <f ca="1">IF($A23=0,"",OFFSET(PO!K$12,ROW(B23)-ROW(B$12),0))</f>
        <v>2.2.1.</v>
      </c>
      <c r="C23" s="127" t="str">
        <f ca="1">IF(OFFSET(PO!N$12,ROW(C23)-ROW(C$12),0)=0,"",OFFSET(PO!N$12,ROW(C23)-ROW(C$12),0))</f>
        <v>MONTAGEM E DESMONTAGEM DE FÔRMA DE PILARES RETANGULARES E ESTRUTURAS SIMILARES, PÉ-DIREITO SIMPLES, EM MADEIRA SERRADA, 4 UTILIZAÇÕES. AF_09/2020</v>
      </c>
      <c r="D23" s="129" t="str">
        <f ca="1">IF(OFFSET(PO!O$12,ROW(D23)-ROW(D$12),0)=0,"",OFFSET(PO!O$12,ROW(D23)-ROW(D$12),0))</f>
        <v>M2</v>
      </c>
      <c r="E23" s="165">
        <f ca="1">IF($A23&lt;&gt;"Serviço",0,ROUND(SUMIF($F$9:$BD$9,"&lt;&gt;",$F23:$BD23),15-13*PO!$X$3))</f>
        <v>41.21</v>
      </c>
      <c r="F23" s="400">
        <v>41.21</v>
      </c>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I23" s="215"/>
    </row>
    <row r="24" spans="1:61" s="4" customFormat="1" ht="25.5">
      <c r="A24" s="128" t="str">
        <f ca="1">OFFSET(PO!J$12,ROW(A24)-ROW($A$12),0)</f>
        <v>Serviço</v>
      </c>
      <c r="B24" s="130" t="str">
        <f ca="1">IF($A24=0,"",OFFSET(PO!K$12,ROW(B24)-ROW(B$12),0))</f>
        <v>2.2.2.</v>
      </c>
      <c r="C24" s="127" t="str">
        <f ca="1">IF(OFFSET(PO!N$12,ROW(C24)-ROW(C$12),0)=0,"",OFFSET(PO!N$12,ROW(C24)-ROW(C$12),0))</f>
        <v>CORTE E DOBRA DE AÇO CA-50, DIÂMETRO DE 10,0 MM. AF_06/2022</v>
      </c>
      <c r="D24" s="129" t="str">
        <f ca="1">IF(OFFSET(PO!O$12,ROW(D24)-ROW(D$12),0)=0,"",OFFSET(PO!O$12,ROW(D24)-ROW(D$12),0))</f>
        <v>KG</v>
      </c>
      <c r="E24" s="165">
        <f ca="1">IF($A24&lt;&gt;"Serviço",0,ROUND(SUMIF($F$9:$BD$9,"&lt;&gt;",$F24:$BD24),15-13*PO!$X$3))</f>
        <v>651.55</v>
      </c>
      <c r="F24" s="400">
        <v>651.55</v>
      </c>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I24" s="215"/>
    </row>
    <row r="25" spans="1:61" s="4" customFormat="1" ht="25.5">
      <c r="A25" s="128" t="str">
        <f ca="1">OFFSET(PO!J$12,ROW(A25)-ROW($A$12),0)</f>
        <v>Serviço</v>
      </c>
      <c r="B25" s="130" t="str">
        <f ca="1">IF($A25=0,"",OFFSET(PO!K$12,ROW(B25)-ROW(B$12),0))</f>
        <v>2.2.3.</v>
      </c>
      <c r="C25" s="127" t="str">
        <f ca="1">IF(OFFSET(PO!N$12,ROW(C25)-ROW(C$12),0)=0,"",OFFSET(PO!N$12,ROW(C25)-ROW(C$12),0))</f>
        <v>CORTE E DOBRA DE AÇO CA-60, DIÂMETRO DE 5,0 MM. AF_06/2022</v>
      </c>
      <c r="D25" s="129" t="str">
        <f ca="1">IF(OFFSET(PO!O$12,ROW(D25)-ROW(D$12),0)=0,"",OFFSET(PO!O$12,ROW(D25)-ROW(D$12),0))</f>
        <v>KG</v>
      </c>
      <c r="E25" s="165">
        <f ca="1">IF($A25&lt;&gt;"Serviço",0,ROUND(SUMIF($F$9:$BD$9,"&lt;&gt;",$F25:$BD25),15-13*PO!$X$3))</f>
        <v>852.55</v>
      </c>
      <c r="F25" s="400">
        <v>852.55</v>
      </c>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I25" s="215"/>
    </row>
    <row r="26" spans="1:61" s="4" customFormat="1" ht="38.25">
      <c r="A26" s="128" t="str">
        <f ca="1">OFFSET(PO!J$12,ROW(A26)-ROW($A$12),0)</f>
        <v>Serviço</v>
      </c>
      <c r="B26" s="130" t="str">
        <f ca="1">IF($A26=0,"",OFFSET(PO!K$12,ROW(B26)-ROW(B$12),0))</f>
        <v>2.2.4.</v>
      </c>
      <c r="C26" s="127" t="str">
        <f ca="1">IF(OFFSET(PO!N$12,ROW(C26)-ROW(C$12),0)=0,"",OFFSET(PO!N$12,ROW(C26)-ROW(C$12),0))</f>
        <v>CONCRETAGEM DE PILARES, FCK = 25 MPA,  COM USO DE BALDES - LANÇAMENTO, ADENSAMENTO E ACABAMENTO. AF_02/2022</v>
      </c>
      <c r="D26" s="129" t="str">
        <f ca="1">IF(OFFSET(PO!O$12,ROW(D26)-ROW(D$12),0)=0,"",OFFSET(PO!O$12,ROW(D26)-ROW(D$12),0))</f>
        <v>M3</v>
      </c>
      <c r="E26" s="165">
        <f ca="1">IF($A26&lt;&gt;"Serviço",0,ROUND(SUMIF($F$9:$BD$9,"&lt;&gt;",$F26:$BD26),15-13*PO!$X$3))</f>
        <v>8.82</v>
      </c>
      <c r="F26" s="400">
        <v>8.82</v>
      </c>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I26" s="215"/>
    </row>
    <row r="27" spans="1:61" s="4" customFormat="1" ht="12.75">
      <c r="A27" s="128" t="str">
        <f ca="1">OFFSET(PO!J$12,ROW(A27)-ROW($A$12),0)</f>
        <v>Nível 2</v>
      </c>
      <c r="B27" s="130" t="str">
        <f ca="1">IF($A27=0,"",OFFSET(PO!K$12,ROW(B27)-ROW(B$12),0))</f>
        <v>2.3.</v>
      </c>
      <c r="C27" s="127" t="str">
        <f ca="1">IF(OFFSET(PO!N$12,ROW(C27)-ROW(C$12),0)=0,"",OFFSET(PO!N$12,ROW(C27)-ROW(C$12),0))</f>
        <v>EXECUÇÃO DE VIGAS DO PISO  EM CONCRETO ARMADO</v>
      </c>
      <c r="D27" s="129" t="str">
        <f ca="1">IF(OFFSET(PO!O$12,ROW(D27)-ROW(D$12),0)=0,"",OFFSET(PO!O$12,ROW(D27)-ROW(D$12),0))</f>
        <v/>
      </c>
      <c r="E27" s="165">
        <f ca="1">IF($A27&lt;&gt;"Serviço",0,ROUND(SUMIF($F$9:$BD$9,"&lt;&gt;",$F27:$BD27),15-13*PO!$X$3))</f>
        <v>0</v>
      </c>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I27" s="215"/>
    </row>
    <row r="28" spans="1:61" s="4" customFormat="1" ht="38.25">
      <c r="A28" s="128" t="str">
        <f ca="1">OFFSET(PO!J$12,ROW(A28)-ROW($A$12),0)</f>
        <v>Serviço</v>
      </c>
      <c r="B28" s="130" t="str">
        <f ca="1">IF($A28=0,"",OFFSET(PO!K$12,ROW(B28)-ROW(B$12),0))</f>
        <v>2.3.1.</v>
      </c>
      <c r="C28" s="127" t="str">
        <f ca="1">IF(OFFSET(PO!N$12,ROW(C28)-ROW(C$12),0)=0,"",OFFSET(PO!N$12,ROW(C28)-ROW(C$12),0))</f>
        <v>FABRICAÇÃO, MONTAGEM E DESMONTAGEM DE FÔRMA PARA VIGA BALDRAME, EM MADEIRA SERRADA, E=25 MM, 4 UTILIZAÇÕES. AF_06/2017</v>
      </c>
      <c r="D28" s="129" t="str">
        <f ca="1">IF(OFFSET(PO!O$12,ROW(D28)-ROW(D$12),0)=0,"",OFFSET(PO!O$12,ROW(D28)-ROW(D$12),0))</f>
        <v>M2</v>
      </c>
      <c r="E28" s="165">
        <f ca="1">IF($A28&lt;&gt;"Serviço",0,ROUND(SUMIF($F$9:$BD$9,"&lt;&gt;",$F28:$BD28),15-13*PO!$X$3))</f>
        <v>54.3</v>
      </c>
      <c r="F28" s="400">
        <v>54.3</v>
      </c>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I28" s="215"/>
    </row>
    <row r="29" spans="1:61" s="4" customFormat="1" ht="38.25">
      <c r="A29" s="128" t="str">
        <f ca="1">OFFSET(PO!J$12,ROW(A29)-ROW($A$12),0)</f>
        <v>Serviço</v>
      </c>
      <c r="B29" s="130" t="str">
        <f ca="1">IF($A29=0,"",OFFSET(PO!K$12,ROW(B29)-ROW(B$12),0))</f>
        <v>2.3.2.</v>
      </c>
      <c r="C29" s="127" t="str">
        <f ca="1">IF(OFFSET(PO!N$12,ROW(C29)-ROW(C$12),0)=0,"",OFFSET(PO!N$12,ROW(C29)-ROW(C$12),0))</f>
        <v>CORTE E DOBRA DE AÇO CA-50, DIÂMETRO DE 10,0 MM, UTILIZADO EM ESTRUTURAS DIVERSAS, EXCETO LAJES. AF_12/2015</v>
      </c>
      <c r="D29" s="129" t="str">
        <f ca="1">IF(OFFSET(PO!O$12,ROW(D29)-ROW(D$12),0)=0,"",OFFSET(PO!O$12,ROW(D29)-ROW(D$12),0))</f>
        <v>KG</v>
      </c>
      <c r="E29" s="165">
        <f ca="1">IF($A29&lt;&gt;"Serviço",0,ROUND(SUMIF($F$9:$BD$9,"&lt;&gt;",$F29:$BD29),15-13*PO!$X$3))</f>
        <v>893.42</v>
      </c>
      <c r="F29" s="400">
        <v>893.42</v>
      </c>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I29" s="215"/>
    </row>
    <row r="30" spans="1:61" s="4" customFormat="1" ht="38.25">
      <c r="A30" s="128" t="str">
        <f ca="1">OFFSET(PO!J$12,ROW(A30)-ROW($A$12),0)</f>
        <v>Serviço</v>
      </c>
      <c r="B30" s="130" t="str">
        <f ca="1">IF($A30=0,"",OFFSET(PO!K$12,ROW(B30)-ROW(B$12),0))</f>
        <v>2.3.3.</v>
      </c>
      <c r="C30" s="127" t="str">
        <f ca="1">IF(OFFSET(PO!N$12,ROW(C30)-ROW(C$12),0)=0,"",OFFSET(PO!N$12,ROW(C30)-ROW(C$12),0))</f>
        <v>CORTE E DOBRA DE AÇO CA-60, DIÂMETRO DE 5,0 MM, UTILIZADO EM ESTRUTURAS DIVERSAS, EXCETO LAJES. AF_12/2015</v>
      </c>
      <c r="D30" s="129" t="str">
        <f ca="1">IF(OFFSET(PO!O$12,ROW(D30)-ROW(D$12),0)=0,"",OFFSET(PO!O$12,ROW(D30)-ROW(D$12),0))</f>
        <v>KG</v>
      </c>
      <c r="E30" s="165">
        <f ca="1">IF($A30&lt;&gt;"Serviço",0,ROUND(SUMIF($F$9:$BD$9,"&lt;&gt;",$F30:$BD30),15-13*PO!$X$3))</f>
        <v>343.41</v>
      </c>
      <c r="F30" s="400">
        <v>343.41</v>
      </c>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I30" s="215"/>
    </row>
    <row r="31" spans="1:61" s="4" customFormat="1" ht="38.25">
      <c r="A31" s="128" t="str">
        <f ca="1">OFFSET(PO!J$12,ROW(A31)-ROW($A$12),0)</f>
        <v>Serviço</v>
      </c>
      <c r="B31" s="130" t="str">
        <f ca="1">IF($A31=0,"",OFFSET(PO!K$12,ROW(B31)-ROW(B$12),0))</f>
        <v>2.3.4.</v>
      </c>
      <c r="C31" s="127" t="str">
        <f ca="1">IF(OFFSET(PO!N$12,ROW(C31)-ROW(C$12),0)=0,"",OFFSET(PO!N$12,ROW(C31)-ROW(C$12),0))</f>
        <v>CONCRETAGEM DE BLOCOS DE COROAMENTO E VIGAS BALDRAME, FCK 30 MPA, COM USO DE JERICA  LANÇAMENTO, ADENSAMENTO E ACABAMENTO. AF_06/2017</v>
      </c>
      <c r="D31" s="129" t="str">
        <f ca="1">IF(OFFSET(PO!O$12,ROW(D31)-ROW(D$12),0)=0,"",OFFSET(PO!O$12,ROW(D31)-ROW(D$12),0))</f>
        <v>M3</v>
      </c>
      <c r="E31" s="165">
        <f ca="1">IF($A31&lt;&gt;"Serviço",0,ROUND(SUMIF($F$9:$BD$9,"&lt;&gt;",$F31:$BD31),15-13*PO!$X$3))</f>
        <v>16.29</v>
      </c>
      <c r="F31" s="400">
        <v>16.29</v>
      </c>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I31" s="215"/>
    </row>
    <row r="32" spans="1:61" s="4" customFormat="1" ht="12.75">
      <c r="A32" s="128" t="str">
        <f ca="1">OFFSET(PO!J$12,ROW(A32)-ROW($A$12),0)</f>
        <v>Nível 2</v>
      </c>
      <c r="B32" s="130" t="str">
        <f ca="1">IF($A32=0,"",OFFSET(PO!K$12,ROW(B32)-ROW(B$12),0))</f>
        <v>2.4.</v>
      </c>
      <c r="C32" s="127" t="str">
        <f ca="1">IF(OFFSET(PO!N$12,ROW(C32)-ROW(C$12),0)=0,"",OFFSET(PO!N$12,ROW(C32)-ROW(C$12),0))</f>
        <v>EXECUÇÃO DE CINTA DE COBERTURA</v>
      </c>
      <c r="D32" s="129" t="str">
        <f ca="1">IF(OFFSET(PO!O$12,ROW(D32)-ROW(D$12),0)=0,"",OFFSET(PO!O$12,ROW(D32)-ROW(D$12),0))</f>
        <v/>
      </c>
      <c r="E32" s="165">
        <f ca="1">IF($A32&lt;&gt;"Serviço",0,ROUND(SUMIF($F$9:$BD$9,"&lt;&gt;",$F32:$BD32),15-13*PO!$X$3))</f>
        <v>0</v>
      </c>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I32" s="215"/>
    </row>
    <row r="33" spans="1:61" s="4" customFormat="1" ht="25.5">
      <c r="A33" s="128" t="str">
        <f ca="1">OFFSET(PO!J$12,ROW(A33)-ROW($A$12),0)</f>
        <v>Serviço</v>
      </c>
      <c r="B33" s="130" t="str">
        <f ca="1">IF($A33=0,"",OFFSET(PO!K$12,ROW(B33)-ROW(B$12),0))</f>
        <v>2.4.1.</v>
      </c>
      <c r="C33" s="127" t="str">
        <f ca="1">IF(OFFSET(PO!N$12,ROW(C33)-ROW(C$12),0)=0,"",OFFSET(PO!N$12,ROW(C33)-ROW(C$12),0))</f>
        <v>FABRICAÇÃO, MONTAGEM E DESMONTAGEM DE FORMA PARA CINTA DE COBERTURA</v>
      </c>
      <c r="D33" s="129" t="str">
        <f ca="1">IF(OFFSET(PO!O$12,ROW(D33)-ROW(D$12),0)=0,"",OFFSET(PO!O$12,ROW(D33)-ROW(D$12),0))</f>
        <v>M2</v>
      </c>
      <c r="E33" s="165">
        <f ca="1">IF($A33&lt;&gt;"Serviço",0,ROUND(SUMIF($F$9:$BD$9,"&lt;&gt;",$F33:$BD33),15-13*PO!$X$3))</f>
        <v>29</v>
      </c>
      <c r="F33" s="400">
        <v>29</v>
      </c>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I33" s="215"/>
    </row>
    <row r="34" spans="1:61" s="4" customFormat="1" ht="25.5">
      <c r="A34" s="128" t="str">
        <f ca="1">OFFSET(PO!J$12,ROW(A34)-ROW($A$12),0)</f>
        <v>Serviço</v>
      </c>
      <c r="B34" s="130" t="str">
        <f ca="1">IF($A34=0,"",OFFSET(PO!K$12,ROW(B34)-ROW(B$12),0))</f>
        <v>2.4.2.</v>
      </c>
      <c r="C34" s="127" t="str">
        <f ca="1">IF(OFFSET(PO!N$12,ROW(C34)-ROW(C$12),0)=0,"",OFFSET(PO!N$12,ROW(C34)-ROW(C$12),0))</f>
        <v>CORTE E DOBRA DE AÇO CA-50, DIÂMETRO DE 8,0 MM. AF_06/2022</v>
      </c>
      <c r="D34" s="129" t="str">
        <f ca="1">IF(OFFSET(PO!O$12,ROW(D34)-ROW(D$12),0)=0,"",OFFSET(PO!O$12,ROW(D34)-ROW(D$12),0))</f>
        <v>KG</v>
      </c>
      <c r="E34" s="165">
        <f ca="1">IF($A34&lt;&gt;"Serviço",0,ROUND(SUMIF($F$9:$BD$9,"&lt;&gt;",$F34:$BD34),15-13*PO!$X$3))</f>
        <v>461.36</v>
      </c>
      <c r="F34" s="400">
        <v>461.36</v>
      </c>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I34" s="215"/>
    </row>
    <row r="35" spans="1:61" s="4" customFormat="1" ht="25.5">
      <c r="A35" s="128" t="str">
        <f ca="1">OFFSET(PO!J$12,ROW(A35)-ROW($A$12),0)</f>
        <v>Serviço</v>
      </c>
      <c r="B35" s="130" t="str">
        <f ca="1">IF($A35=0,"",OFFSET(PO!K$12,ROW(B35)-ROW(B$12),0))</f>
        <v>2.4.3.</v>
      </c>
      <c r="C35" s="127" t="str">
        <f ca="1">IF(OFFSET(PO!N$12,ROW(C35)-ROW(C$12),0)=0,"",OFFSET(PO!N$12,ROW(C35)-ROW(C$12),0))</f>
        <v>CORTE E DOBRA DE AÇO CA-60, DIÂMETRO DE 5,0 MM. AF_06/2022</v>
      </c>
      <c r="D35" s="129" t="str">
        <f ca="1">IF(OFFSET(PO!O$12,ROW(D35)-ROW(D$12),0)=0,"",OFFSET(PO!O$12,ROW(D35)-ROW(D$12),0))</f>
        <v>KG</v>
      </c>
      <c r="E35" s="165">
        <f ca="1">IF($A35&lt;&gt;"Serviço",0,ROUND(SUMIF($F$9:$BD$9,"&lt;&gt;",$F35:$BD35),15-13*PO!$X$3))</f>
        <v>214.05</v>
      </c>
      <c r="F35" s="400">
        <v>214.05</v>
      </c>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I35" s="215"/>
    </row>
    <row r="36" spans="1:61" s="4" customFormat="1" ht="51">
      <c r="A36" s="128" t="str">
        <f ca="1">OFFSET(PO!J$12,ROW(A36)-ROW($A$12),0)</f>
        <v>Serviço</v>
      </c>
      <c r="B36" s="130" t="str">
        <f ca="1">IF($A36=0,"",OFFSET(PO!K$12,ROW(B36)-ROW(B$12),0))</f>
        <v>2.4.4.</v>
      </c>
      <c r="C36" s="127" t="str">
        <f ca="1">IF(OFFSET(PO!N$12,ROW(C36)-ROW(C$12),0)=0,"",OFFSET(PO!N$12,ROW(C36)-ROW(C$12),0))</f>
        <v>CONCRETAGEM DE VIGAS E LAJES, FCK=25 MPA, PARA QUALQUER TIPO DE LAJE COM BALDES EM EDIFICAÇÃO TÉRREA - LANÇAMENTO, ADENSAMENTO E ACABAMENTO. AF_02/2022</v>
      </c>
      <c r="D36" s="129" t="str">
        <f ca="1">IF(OFFSET(PO!O$12,ROW(D36)-ROW(D$12),0)=0,"",OFFSET(PO!O$12,ROW(D36)-ROW(D$12),0))</f>
        <v>M3</v>
      </c>
      <c r="E36" s="165">
        <f ca="1">IF($A36&lt;&gt;"Serviço",0,ROUND(SUMIF($F$9:$BD$9,"&lt;&gt;",$F36:$BD36),15-13*PO!$X$3))</f>
        <v>8.76</v>
      </c>
      <c r="F36" s="400">
        <v>8.76</v>
      </c>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I36" s="215"/>
    </row>
    <row r="37" spans="1:61" s="4" customFormat="1" ht="12.75">
      <c r="A37" s="128" t="str">
        <f ca="1">OFFSET(PO!J$12,ROW(A37)-ROW($A$12),0)</f>
        <v>Meta</v>
      </c>
      <c r="B37" s="130" t="str">
        <f ca="1">IF($A37=0,"",OFFSET(PO!K$12,ROW(B37)-ROW(B$12),0))</f>
        <v>3.</v>
      </c>
      <c r="C37" s="127" t="str">
        <f ca="1">IF(OFFSET(PO!N$12,ROW(C37)-ROW(C$12),0)=0,"",OFFSET(PO!N$12,ROW(C37)-ROW(C$12),0))</f>
        <v>PAREDES</v>
      </c>
      <c r="D37" s="129" t="str">
        <f ca="1">IF(OFFSET(PO!O$12,ROW(D37)-ROW(D$12),0)=0,"",OFFSET(PO!O$12,ROW(D37)-ROW(D$12),0))</f>
        <v/>
      </c>
      <c r="E37" s="165">
        <f ca="1">IF($A37&lt;&gt;"Serviço",0,ROUND(SUMIF($F$9:$BD$9,"&lt;&gt;",$F37:$BD37),15-13*PO!$X$3))</f>
        <v>0</v>
      </c>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I37" s="215"/>
    </row>
    <row r="38" spans="1:61" s="4" customFormat="1" ht="51">
      <c r="A38" s="128" t="str">
        <f ca="1">OFFSET(PO!J$12,ROW(A38)-ROW($A$12),0)</f>
        <v>Serviço</v>
      </c>
      <c r="B38" s="130" t="str">
        <f ca="1">IF($A38=0,"",OFFSET(PO!K$12,ROW(B38)-ROW(B$12),0))</f>
        <v>3.0.1.</v>
      </c>
      <c r="C38" s="127" t="str">
        <f ca="1">IF(OFFSET(PO!N$12,ROW(C38)-ROW(C$12),0)=0,"",OFFSET(PO!N$12,ROW(C38)-ROW(C$12),0))</f>
        <v>ALVENARIA DE VEDAÇÃO DE BLOCOS CERÂMICOS FURADOS NA VERTICAL DE 14X19X39 CM (ESPESSURA 14 CM) E ARGAMASSA DE ASSENTAMENTO COM PREPARO MANUAL. AF_12/2021</v>
      </c>
      <c r="D38" s="129" t="str">
        <f ca="1">IF(OFFSET(PO!O$12,ROW(D38)-ROW(D$12),0)=0,"",OFFSET(PO!O$12,ROW(D38)-ROW(D$12),0))</f>
        <v>M2</v>
      </c>
      <c r="E38" s="165">
        <f ca="1">IF($A38&lt;&gt;"Serviço",0,ROUND(SUMIF($F$9:$BD$9,"&lt;&gt;",$F38:$BD38),15-13*PO!$X$3))</f>
        <v>419.07</v>
      </c>
      <c r="F38" s="400">
        <v>419.07</v>
      </c>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I38" s="215"/>
    </row>
    <row r="39" spans="1:61" s="4" customFormat="1" ht="12.75">
      <c r="A39" s="128" t="str">
        <f ca="1">OFFSET(PO!J$12,ROW(A39)-ROW($A$12),0)</f>
        <v>Meta</v>
      </c>
      <c r="B39" s="130" t="str">
        <f ca="1">IF($A39=0,"",OFFSET(PO!K$12,ROW(B39)-ROW(B$12),0))</f>
        <v>4.</v>
      </c>
      <c r="C39" s="127" t="str">
        <f ca="1">IF(OFFSET(PO!N$12,ROW(C39)-ROW(C$12),0)=0,"",OFFSET(PO!N$12,ROW(C39)-ROW(C$12),0))</f>
        <v>COBERTURA</v>
      </c>
      <c r="D39" s="129" t="str">
        <f ca="1">IF(OFFSET(PO!O$12,ROW(D39)-ROW(D$12),0)=0,"",OFFSET(PO!O$12,ROW(D39)-ROW(D$12),0))</f>
        <v/>
      </c>
      <c r="E39" s="165">
        <f ca="1">IF($A39&lt;&gt;"Serviço",0,ROUND(SUMIF($F$9:$BD$9,"&lt;&gt;",$F39:$BD39),15-13*PO!$X$3))</f>
        <v>0</v>
      </c>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I39" s="215"/>
    </row>
    <row r="40" spans="1:61" s="4" customFormat="1" ht="25.5">
      <c r="A40" s="128" t="str">
        <f ca="1">OFFSET(PO!J$12,ROW(A40)-ROW($A$12),0)</f>
        <v>Serviço</v>
      </c>
      <c r="B40" s="130" t="str">
        <f ca="1">IF($A40=0,"",OFFSET(PO!K$12,ROW(B40)-ROW(B$12),0))</f>
        <v>4.0.1.</v>
      </c>
      <c r="C40" s="127" t="str">
        <f ca="1">IF(OFFSET(PO!N$12,ROW(C40)-ROW(C$12),0)=0,"",OFFSET(PO!N$12,ROW(C40)-ROW(C$12),0))</f>
        <v>TESOURA METÁLICA COMPOSTA POR TRÊS VÃOS (CONFORME PLANTA)</v>
      </c>
      <c r="D40" s="129" t="str">
        <f ca="1">IF(OFFSET(PO!O$12,ROW(D40)-ROW(D$12),0)=0,"",OFFSET(PO!O$12,ROW(D40)-ROW(D$12),0))</f>
        <v>UM</v>
      </c>
      <c r="E40" s="165">
        <f ca="1">IF($A40&lt;&gt;"Serviço",0,ROUND(SUMIF($F$9:$BD$9,"&lt;&gt;",$F40:$BD40),15-13*PO!$X$3))</f>
        <v>9</v>
      </c>
      <c r="F40" s="400">
        <v>9</v>
      </c>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I40" s="215"/>
    </row>
    <row r="41" spans="1:61" s="4" customFormat="1" ht="51">
      <c r="A41" s="128" t="str">
        <f ca="1">OFFSET(PO!J$12,ROW(A41)-ROW($A$12),0)</f>
        <v>Serviço</v>
      </c>
      <c r="B41" s="130" t="str">
        <f ca="1">IF($A41=0,"",OFFSET(PO!K$12,ROW(B41)-ROW(B$12),0))</f>
        <v>4.0.2.</v>
      </c>
      <c r="C41" s="127" t="str">
        <f ca="1">IF(OFFSET(PO!N$12,ROW(C41)-ROW(C$12),0)=0,"",OFFSET(PO!N$12,ROW(C41)-ROW(C$12),0))</f>
        <v>TRAMA DE AÇO COMPOSTA POR TERÇAS PARA TELHADOS DE ATÉ 2 ÁGUAS PARA TELHA ONDULADA DE FIBROCIMENTO, METÁLICA, PLÁSTICA OU TERMOACÚSTICA, INCLUSO TRANSPORTE VERTICAL. AF_07/2019</v>
      </c>
      <c r="D41" s="129" t="str">
        <f ca="1">IF(OFFSET(PO!O$12,ROW(D41)-ROW(D$12),0)=0,"",OFFSET(PO!O$12,ROW(D41)-ROW(D$12),0))</f>
        <v>M2</v>
      </c>
      <c r="E41" s="165">
        <f ca="1">IF($A41&lt;&gt;"Serviço",0,ROUND(SUMIF($F$9:$BD$9,"&lt;&gt;",$F41:$BD41),15-13*PO!$X$3))</f>
        <v>1324.8</v>
      </c>
      <c r="F41" s="400">
        <v>1324.8</v>
      </c>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I41" s="215"/>
    </row>
    <row r="42" spans="1:61" s="4" customFormat="1" ht="25.5">
      <c r="A42" s="128" t="str">
        <f ca="1">OFFSET(PO!J$12,ROW(A42)-ROW($A$12),0)</f>
        <v>Serviço</v>
      </c>
      <c r="B42" s="130" t="str">
        <f ca="1">IF($A42=0,"",OFFSET(PO!K$12,ROW(B42)-ROW(B$12),0))</f>
        <v>4.0.3.</v>
      </c>
      <c r="C42" s="127" t="str">
        <f ca="1">IF(OFFSET(PO!N$12,ROW(C42)-ROW(C$12),0)=0,"",OFFSET(PO!N$12,ROW(C42)-ROW(C$12),0))</f>
        <v>TELHAMENTO COM TELHA METÁLICA TERMOACÚSTICA E = 30 MM, COM ATÉ 2 ÁGUAS, INCLUSO IÇAMENTO. AF_07/2019</v>
      </c>
      <c r="D42" s="129" t="str">
        <f ca="1">IF(OFFSET(PO!O$12,ROW(D42)-ROW(D$12),0)=0,"",OFFSET(PO!O$12,ROW(D42)-ROW(D$12),0))</f>
        <v>M2</v>
      </c>
      <c r="E42" s="165">
        <f ca="1">IF($A42&lt;&gt;"Serviço",0,ROUND(SUMIF($F$9:$BD$9,"&lt;&gt;",$F42:$BD42),15-13*PO!$X$3))</f>
        <v>1324.8</v>
      </c>
      <c r="F42" s="400">
        <v>1324.8</v>
      </c>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I42" s="215"/>
    </row>
    <row r="43" spans="1:61" s="4" customFormat="1" ht="12.75">
      <c r="A43" s="128" t="str">
        <f ca="1">OFFSET(PO!J$12,ROW(A43)-ROW($A$12),0)</f>
        <v>Meta</v>
      </c>
      <c r="B43" s="130" t="str">
        <f ca="1">IF($A43=0,"",OFFSET(PO!K$12,ROW(B43)-ROW(B$12),0))</f>
        <v>5.</v>
      </c>
      <c r="C43" s="127" t="str">
        <f ca="1">IF(OFFSET(PO!N$12,ROW(C43)-ROW(C$12),0)=0,"",OFFSET(PO!N$12,ROW(C43)-ROW(C$12),0))</f>
        <v>IMPERMEABILIZAÇÃO</v>
      </c>
      <c r="D43" s="129" t="str">
        <f ca="1">IF(OFFSET(PO!O$12,ROW(D43)-ROW(D$12),0)=0,"",OFFSET(PO!O$12,ROW(D43)-ROW(D$12),0))</f>
        <v/>
      </c>
      <c r="E43" s="165">
        <f ca="1">IF($A43&lt;&gt;"Serviço",0,ROUND(SUMIF($F$9:$BD$9,"&lt;&gt;",$F43:$BD43),15-13*PO!$X$3))</f>
        <v>0</v>
      </c>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I43" s="215"/>
    </row>
    <row r="44" spans="1:61" s="4" customFormat="1" ht="25.5">
      <c r="A44" s="128" t="str">
        <f ca="1">OFFSET(PO!J$12,ROW(A44)-ROW($A$12),0)</f>
        <v>Serviço</v>
      </c>
      <c r="B44" s="130" t="str">
        <f ca="1">IF($A44=0,"",OFFSET(PO!K$12,ROW(B44)-ROW(B$12),0))</f>
        <v>5.0.1.</v>
      </c>
      <c r="C44" s="127" t="str">
        <f ca="1">IF(OFFSET(PO!N$12,ROW(C44)-ROW(C$12),0)=0,"",OFFSET(PO!N$12,ROW(C44)-ROW(C$12),0))</f>
        <v>IMPERMEABILIZAÇÃO DE SUPERFÍCIE COM ARGAMASSA POLIMÉRICA / MEMBRANA ACRÍLICA, 3 DEMÃOS. AF_09/2023</v>
      </c>
      <c r="D44" s="129" t="str">
        <f ca="1">IF(OFFSET(PO!O$12,ROW(D44)-ROW(D$12),0)=0,"",OFFSET(PO!O$12,ROW(D44)-ROW(D$12),0))</f>
        <v>M2</v>
      </c>
      <c r="E44" s="165">
        <f ca="1">IF($A44&lt;&gt;"Serviço",0,ROUND(SUMIF($F$9:$BD$9,"&lt;&gt;",$F44:$BD44),15-13*PO!$X$3))</f>
        <v>289.6</v>
      </c>
      <c r="F44" s="400">
        <v>289.6</v>
      </c>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I44" s="215"/>
    </row>
    <row r="45" spans="1:61" s="4" customFormat="1" ht="12.75">
      <c r="A45" s="128" t="str">
        <f ca="1">OFFSET(PO!J$12,ROW(A45)-ROW($A$12),0)</f>
        <v>Meta</v>
      </c>
      <c r="B45" s="130" t="str">
        <f ca="1">IF($A45=0,"",OFFSET(PO!K$12,ROW(B45)-ROW(B$12),0))</f>
        <v>6.</v>
      </c>
      <c r="C45" s="127" t="str">
        <f ca="1">IF(OFFSET(PO!N$12,ROW(C45)-ROW(C$12),0)=0,"",OFFSET(PO!N$12,ROW(C45)-ROW(C$12),0))</f>
        <v>REVESTIMENTOS DE PAREDES INTERNAS</v>
      </c>
      <c r="D45" s="129" t="str">
        <f ca="1">IF(OFFSET(PO!O$12,ROW(D45)-ROW(D$12),0)=0,"",OFFSET(PO!O$12,ROW(D45)-ROW(D$12),0))</f>
        <v/>
      </c>
      <c r="E45" s="165">
        <f ca="1">IF($A45&lt;&gt;"Serviço",0,ROUND(SUMIF($F$9:$BD$9,"&lt;&gt;",$F45:$BD45),15-13*PO!$X$3))</f>
        <v>0</v>
      </c>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I45" s="215"/>
    </row>
    <row r="46" spans="1:61" s="4" customFormat="1" ht="51">
      <c r="A46" s="128" t="str">
        <f ca="1">OFFSET(PO!J$12,ROW(A46)-ROW($A$12),0)</f>
        <v>Serviço</v>
      </c>
      <c r="B46" s="130" t="str">
        <f ca="1">IF($A46=0,"",OFFSET(PO!K$12,ROW(B46)-ROW(B$12),0))</f>
        <v>6.0.1.</v>
      </c>
      <c r="C46" s="127" t="str">
        <f ca="1">IF(OFFSET(PO!N$12,ROW(C46)-ROW(C$12),0)=0,"",OFFSET(PO!N$12,ROW(C46)-ROW(C$12),0))</f>
        <v>CHAPISCO APLICADO EM ALVENARIA (COM PRESENÇA DE VÃOS) E ESTRUTURAS DE CONCRETO DE FACHADA, COM COLHER DE PEDREIRO.  ARGAMASSA TRAÇO 1:3 COM PREPARO MANUAL. AF_06/2014</v>
      </c>
      <c r="D46" s="129" t="str">
        <f ca="1">IF(OFFSET(PO!O$12,ROW(D46)-ROW(D$12),0)=0,"",OFFSET(PO!O$12,ROW(D46)-ROW(D$12),0))</f>
        <v>M2</v>
      </c>
      <c r="E46" s="165">
        <f ca="1">IF($A46&lt;&gt;"Serviço",0,ROUND(SUMIF($F$9:$BD$9,"&lt;&gt;",$F46:$BD46),15-13*PO!$X$3))</f>
        <v>258.58</v>
      </c>
      <c r="F46" s="400">
        <v>258.58</v>
      </c>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I46" s="215"/>
    </row>
    <row r="47" spans="1:61" s="4" customFormat="1" ht="51">
      <c r="A47" s="128" t="str">
        <f ca="1">OFFSET(PO!J$12,ROW(A47)-ROW($A$12),0)</f>
        <v>Serviço</v>
      </c>
      <c r="B47" s="130" t="str">
        <f ca="1">IF($A47=0,"",OFFSET(PO!K$12,ROW(B47)-ROW(B$12),0))</f>
        <v>6.0.2.</v>
      </c>
      <c r="C47" s="127" t="str">
        <f ca="1">IF(OFFSET(PO!N$12,ROW(C47)-ROW(C$12),0)=0,"",OFFSET(PO!N$12,ROW(C47)-ROW(C$12),0))</f>
        <v>EMBOÇO OU MASSA ÚNICA EM ARGAMASSA TRAÇO 1:2:8, PREPARO MECÂNICO COM BETONEIRA 400 L, APLICADA MANUALMENTE EM PANOS DE FACHADA COM PRESENÇA DE VÃOS, ESPESSURA DE 25 MM. AF_06/2014</v>
      </c>
      <c r="D47" s="129" t="str">
        <f ca="1">IF(OFFSET(PO!O$12,ROW(D47)-ROW(D$12),0)=0,"",OFFSET(PO!O$12,ROW(D47)-ROW(D$12),0))</f>
        <v>M2</v>
      </c>
      <c r="E47" s="165">
        <f ca="1">IF($A47&lt;&gt;"Serviço",0,ROUND(SUMIF($F$9:$BD$9,"&lt;&gt;",$F47:$BD47),15-13*PO!$X$3))</f>
        <v>258.58</v>
      </c>
      <c r="F47" s="400">
        <f>F46</f>
        <v>258.58</v>
      </c>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I47" s="215"/>
    </row>
    <row r="48" spans="1:61" s="4" customFormat="1" ht="38.25">
      <c r="A48" s="128" t="str">
        <f ca="1">OFFSET(PO!J$12,ROW(A48)-ROW($A$12),0)</f>
        <v>Serviço</v>
      </c>
      <c r="B48" s="130" t="str">
        <f ca="1">IF($A48=0,"",OFFSET(PO!K$12,ROW(B48)-ROW(B$12),0))</f>
        <v>6.0.3.</v>
      </c>
      <c r="C48" s="127" t="str">
        <f ca="1">IF(OFFSET(PO!N$12,ROW(C48)-ROW(C$12),0)=0,"",OFFSET(PO!N$12,ROW(C48)-ROW(C$12),0))</f>
        <v>REVESTIMENTO CERÂMICO PARA PAREDES INTERNAS COM PLACAS TIPO ESMALTADA EXTRA DE DIMENSÕES 25X35 CM APLICADAS NA ALTURA INTEIRA DAS PAREDES. AF_02/2023_PE</v>
      </c>
      <c r="D48" s="129" t="str">
        <f ca="1">IF(OFFSET(PO!O$12,ROW(D48)-ROW(D$12),0)=0,"",OFFSET(PO!O$12,ROW(D48)-ROW(D$12),0))</f>
        <v>M2</v>
      </c>
      <c r="E48" s="165">
        <f ca="1">IF($A48&lt;&gt;"Serviço",0,ROUND(SUMIF($F$9:$BD$9,"&lt;&gt;",$F48:$BD48),15-13*PO!$X$3))</f>
        <v>258.58</v>
      </c>
      <c r="F48" s="400">
        <f>F47</f>
        <v>258.58</v>
      </c>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I48" s="215"/>
    </row>
    <row r="49" spans="1:61" s="4" customFormat="1" ht="12.75">
      <c r="A49" s="128" t="str">
        <f ca="1">OFFSET(PO!J$12,ROW(A49)-ROW($A$12),0)</f>
        <v>Meta</v>
      </c>
      <c r="B49" s="130" t="str">
        <f ca="1">IF($A49=0,"",OFFSET(PO!K$12,ROW(B49)-ROW(B$12),0))</f>
        <v>7.</v>
      </c>
      <c r="C49" s="127" t="str">
        <f ca="1">IF(OFFSET(PO!N$12,ROW(C49)-ROW(C$12),0)=0,"",OFFSET(PO!N$12,ROW(C49)-ROW(C$12),0))</f>
        <v>INSTALAÇÃO HIDRÁULICAS</v>
      </c>
      <c r="D49" s="129" t="str">
        <f ca="1">IF(OFFSET(PO!O$12,ROW(D49)-ROW(D$12),0)=0,"",OFFSET(PO!O$12,ROW(D49)-ROW(D$12),0))</f>
        <v/>
      </c>
      <c r="E49" s="165">
        <f ca="1">IF($A49&lt;&gt;"Serviço",0,ROUND(SUMIF($F$9:$BD$9,"&lt;&gt;",$F49:$BD49),15-13*PO!$X$3))</f>
        <v>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I49" s="215"/>
    </row>
    <row r="50" spans="1:61" s="4" customFormat="1" ht="12.75">
      <c r="A50" s="128" t="str">
        <f ca="1">OFFSET(PO!J$12,ROW(A50)-ROW($A$12),0)</f>
        <v>Serviço</v>
      </c>
      <c r="B50" s="130" t="str">
        <f ca="1">IF($A50=0,"",OFFSET(PO!K$12,ROW(B50)-ROW(B$12),0))</f>
        <v>7.0.1.</v>
      </c>
      <c r="C50" s="127" t="str">
        <f ca="1">IF(OFFSET(PO!N$12,ROW(C50)-ROW(C$12),0)=0,"",OFFSET(PO!N$12,ROW(C50)-ROW(C$12),0))</f>
        <v xml:space="preserve">TUBO PVC, SOLDAVEL, DE 25 MM, AGUA FRIA (NBR-5648)                                                                                                                                                                                                                                                                                                                                                                                                                                                        </v>
      </c>
      <c r="D50" s="129" t="str">
        <f ca="1">IF(OFFSET(PO!O$12,ROW(D50)-ROW(D$12),0)=0,"",OFFSET(PO!O$12,ROW(D50)-ROW(D$12),0))</f>
        <v xml:space="preserve">M     </v>
      </c>
      <c r="E50" s="165">
        <f ca="1">IF($A50&lt;&gt;"Serviço",0,ROUND(SUMIF($F$9:$BD$9,"&lt;&gt;",$F50:$BD50),15-13*PO!$X$3))</f>
        <v>114</v>
      </c>
      <c r="F50" s="400">
        <v>114</v>
      </c>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I50" s="215"/>
    </row>
    <row r="51" spans="1:61" s="4" customFormat="1" ht="38.25">
      <c r="A51" s="128" t="str">
        <f ca="1">OFFSET(PO!J$12,ROW(A51)-ROW($A$12),0)</f>
        <v>Serviço</v>
      </c>
      <c r="B51" s="130" t="str">
        <f ca="1">IF($A51=0,"",OFFSET(PO!K$12,ROW(B51)-ROW(B$12),0))</f>
        <v>7.0.2.</v>
      </c>
      <c r="C51" s="127" t="str">
        <f ca="1">IF(OFFSET(PO!N$12,ROW(C51)-ROW(C$12),0)=0,"",OFFSET(PO!N$12,ROW(C51)-ROW(C$12),0))</f>
        <v>TÊ DE REDUÇÃO, PVC, SOLDÁVEL, DN 25MM X 20MM, INSTALADO EM RAMAL DE DISTRIBUIÇÃO DE ÁGUA - FORNECIMENTO E INSTALAÇÃO. AF_06/2022</v>
      </c>
      <c r="D51" s="129" t="str">
        <f ca="1">IF(OFFSET(PO!O$12,ROW(D51)-ROW(D$12),0)=0,"",OFFSET(PO!O$12,ROW(D51)-ROW(D$12),0))</f>
        <v>UN</v>
      </c>
      <c r="E51" s="165">
        <f ca="1">IF($A51&lt;&gt;"Serviço",0,ROUND(SUMIF($F$9:$BD$9,"&lt;&gt;",$F51:$BD51),15-13*PO!$X$3))</f>
        <v>22</v>
      </c>
      <c r="F51" s="400">
        <v>22</v>
      </c>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I51" s="215"/>
    </row>
    <row r="52" spans="1:61" s="4" customFormat="1" ht="25.5">
      <c r="A52" s="128" t="str">
        <f ca="1">OFFSET(PO!J$12,ROW(A52)-ROW($A$12),0)</f>
        <v>Serviço</v>
      </c>
      <c r="B52" s="130" t="str">
        <f ca="1">IF($A52=0,"",OFFSET(PO!K$12,ROW(B52)-ROW(B$12),0))</f>
        <v>7.0.3.</v>
      </c>
      <c r="C52" s="127" t="str">
        <f ca="1">IF(OFFSET(PO!N$12,ROW(C52)-ROW(C$12),0)=0,"",OFFSET(PO!N$12,ROW(C52)-ROW(C$12),0))</f>
        <v>TE, PVC, SOLDÁVEL, DN 25MM, INSTALADO EM PRUMADA DE ÁGUA - FORNECIMENTO E INSTALAÇÃO. AF_06/2022</v>
      </c>
      <c r="D52" s="129" t="str">
        <f ca="1">IF(OFFSET(PO!O$12,ROW(D52)-ROW(D$12),0)=0,"",OFFSET(PO!O$12,ROW(D52)-ROW(D$12),0))</f>
        <v>UN</v>
      </c>
      <c r="E52" s="165">
        <f ca="1">IF($A52&lt;&gt;"Serviço",0,ROUND(SUMIF($F$9:$BD$9,"&lt;&gt;",$F52:$BD52),15-13*PO!$X$3))</f>
        <v>22</v>
      </c>
      <c r="F52" s="400">
        <v>22</v>
      </c>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I52" s="215"/>
    </row>
    <row r="53" spans="1:61" s="4" customFormat="1" ht="38.25">
      <c r="A53" s="128" t="str">
        <f ca="1">OFFSET(PO!J$12,ROW(A53)-ROW($A$12),0)</f>
        <v>Serviço</v>
      </c>
      <c r="B53" s="130" t="str">
        <f ca="1">IF($A53=0,"",OFFSET(PO!K$12,ROW(B53)-ROW(B$12),0))</f>
        <v>7.0.4.</v>
      </c>
      <c r="C53" s="127" t="str">
        <f ca="1">IF(OFFSET(PO!N$12,ROW(C53)-ROW(C$12),0)=0,"",OFFSET(PO!N$12,ROW(C53)-ROW(C$12),0))</f>
        <v>JOELHO 90 GRAUS, PVC, SOLDÁVEL, DN 20MM, INSTALADO EM RAMAL OU SUB-RAMAL DE ÁGUA - FORNECIMENTO E INSTALAÇÃO. AF_06/2022</v>
      </c>
      <c r="D53" s="129" t="str">
        <f ca="1">IF(OFFSET(PO!O$12,ROW(D53)-ROW(D$12),0)=0,"",OFFSET(PO!O$12,ROW(D53)-ROW(D$12),0))</f>
        <v>UN</v>
      </c>
      <c r="E53" s="165">
        <f ca="1">IF($A53&lt;&gt;"Serviço",0,ROUND(SUMIF($F$9:$BD$9,"&lt;&gt;",$F53:$BD53),15-13*PO!$X$3))</f>
        <v>6</v>
      </c>
      <c r="F53" s="400">
        <v>6</v>
      </c>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I53" s="215"/>
    </row>
    <row r="54" spans="1:61" s="4" customFormat="1" ht="38.25">
      <c r="A54" s="128" t="str">
        <f ca="1">OFFSET(PO!J$12,ROW(A54)-ROW($A$12),0)</f>
        <v>Serviço</v>
      </c>
      <c r="B54" s="130" t="str">
        <f ca="1">IF($A54=0,"",OFFSET(PO!K$12,ROW(B54)-ROW(B$12),0))</f>
        <v>7.0.5.</v>
      </c>
      <c r="C54" s="127" t="str">
        <f ca="1">IF(OFFSET(PO!N$12,ROW(C54)-ROW(C$12),0)=0,"",OFFSET(PO!N$12,ROW(C54)-ROW(C$12),0))</f>
        <v>JOELHO 90 GRAUS, PVC, SOLDÁVEL, DN 25MM, INSTALADO EM RAMAL DE DISTRIBUIÇÃO DE ÁGUA - FORNECIMENTO E INSTALAÇÃO. AF_06/2022</v>
      </c>
      <c r="D54" s="129" t="str">
        <f ca="1">IF(OFFSET(PO!O$12,ROW(D54)-ROW(D$12),0)=0,"",OFFSET(PO!O$12,ROW(D54)-ROW(D$12),0))</f>
        <v>UN</v>
      </c>
      <c r="E54" s="165">
        <f ca="1">IF($A54&lt;&gt;"Serviço",0,ROUND(SUMIF($F$9:$BD$9,"&lt;&gt;",$F54:$BD54),15-13*PO!$X$3))</f>
        <v>6</v>
      </c>
      <c r="F54" s="400">
        <v>6</v>
      </c>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I54" s="215"/>
    </row>
    <row r="55" spans="1:61" s="4" customFormat="1" ht="12.75">
      <c r="A55" s="128" t="str">
        <f ca="1">OFFSET(PO!J$12,ROW(A55)-ROW($A$12),0)</f>
        <v>Serviço</v>
      </c>
      <c r="B55" s="130" t="str">
        <f ca="1">IF($A55=0,"",OFFSET(PO!K$12,ROW(B55)-ROW(B$12),0))</f>
        <v>7.0.6.</v>
      </c>
      <c r="C55" s="127" t="str">
        <f ca="1">IF(OFFSET(PO!N$12,ROW(C55)-ROW(C$12),0)=0,"",OFFSET(PO!N$12,ROW(C55)-ROW(C$12),0))</f>
        <v xml:space="preserve">LUVA PVC SOLDAVEL, 25 MM, PARA AGUA FRIA PREDIAL                                                                                                                                                                                                                                                                                                                                                                                                                                                          </v>
      </c>
      <c r="D55" s="129" t="str">
        <f ca="1">IF(OFFSET(PO!O$12,ROW(D55)-ROW(D$12),0)=0,"",OFFSET(PO!O$12,ROW(D55)-ROW(D$12),0))</f>
        <v xml:space="preserve">UN    </v>
      </c>
      <c r="E55" s="165">
        <f ca="1">IF($A55&lt;&gt;"Serviço",0,ROUND(SUMIF($F$9:$BD$9,"&lt;&gt;",$F55:$BD55),15-13*PO!$X$3))</f>
        <v>5</v>
      </c>
      <c r="F55" s="400">
        <v>5</v>
      </c>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I55" s="215"/>
    </row>
    <row r="56" spans="1:61" s="4" customFormat="1" ht="12.75">
      <c r="A56" s="128" t="str">
        <f ca="1">OFFSET(PO!J$12,ROW(A56)-ROW($A$12),0)</f>
        <v>Serviço</v>
      </c>
      <c r="B56" s="130" t="str">
        <f ca="1">IF($A56=0,"",OFFSET(PO!K$12,ROW(B56)-ROW(B$12),0))</f>
        <v>7.0.7.</v>
      </c>
      <c r="C56" s="127" t="str">
        <f ca="1">IF(OFFSET(PO!N$12,ROW(C56)-ROW(C$12),0)=0,"",OFFSET(PO!N$12,ROW(C56)-ROW(C$12),0))</f>
        <v xml:space="preserve">LUVA PVC SOLDAVEL, 32 MM, PARA AGUA FRIA PREDIAL                                                                                                                                                                                                                                                                                                                                                                                                                                                          </v>
      </c>
      <c r="D56" s="129" t="str">
        <f ca="1">IF(OFFSET(PO!O$12,ROW(D56)-ROW(D$12),0)=0,"",OFFSET(PO!O$12,ROW(D56)-ROW(D$12),0))</f>
        <v xml:space="preserve">UN    </v>
      </c>
      <c r="E56" s="165">
        <f ca="1">IF($A56&lt;&gt;"Serviço",0,ROUND(SUMIF($F$9:$BD$9,"&lt;&gt;",$F56:$BD56),15-13*PO!$X$3))</f>
        <v>5</v>
      </c>
      <c r="F56" s="400">
        <v>5</v>
      </c>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I56" s="215"/>
    </row>
    <row r="57" spans="1:61" s="4" customFormat="1" ht="12.75">
      <c r="A57" s="128" t="str">
        <f ca="1">OFFSET(PO!J$12,ROW(A57)-ROW($A$12),0)</f>
        <v>Serviço</v>
      </c>
      <c r="B57" s="130" t="str">
        <f ca="1">IF($A57=0,"",OFFSET(PO!K$12,ROW(B57)-ROW(B$12),0))</f>
        <v>7.0.8.</v>
      </c>
      <c r="C57" s="127" t="str">
        <f ca="1">IF(OFFSET(PO!N$12,ROW(C57)-ROW(C$12),0)=0,"",OFFSET(PO!N$12,ROW(C57)-ROW(C$12),0))</f>
        <v xml:space="preserve">LUVA PVC SOLDAVEL, 40 MM, PARA AGUA FRIA PREDIAL                                                                                                                                                                                                                                                                                                                                                                                                                                                          </v>
      </c>
      <c r="D57" s="129" t="str">
        <f ca="1">IF(OFFSET(PO!O$12,ROW(D57)-ROW(D$12),0)=0,"",OFFSET(PO!O$12,ROW(D57)-ROW(D$12),0))</f>
        <v xml:space="preserve">UN    </v>
      </c>
      <c r="E57" s="165">
        <f ca="1">IF($A57&lt;&gt;"Serviço",0,ROUND(SUMIF($F$9:$BD$9,"&lt;&gt;",$F57:$BD57),15-13*PO!$X$3))</f>
        <v>5</v>
      </c>
      <c r="F57" s="400">
        <v>5</v>
      </c>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I57" s="215"/>
    </row>
    <row r="58" spans="1:61" s="4" customFormat="1" ht="12.75">
      <c r="A58" s="128" t="str">
        <f ca="1">OFFSET(PO!J$12,ROW(A58)-ROW($A$12),0)</f>
        <v>Meta</v>
      </c>
      <c r="B58" s="130" t="str">
        <f ca="1">IF($A58=0,"",OFFSET(PO!K$12,ROW(B58)-ROW(B$12),0))</f>
        <v>8.</v>
      </c>
      <c r="C58" s="127" t="str">
        <f ca="1">IF(OFFSET(PO!N$12,ROW(C58)-ROW(C$12),0)=0,"",OFFSET(PO!N$12,ROW(C58)-ROW(C$12),0))</f>
        <v>INSTALAÇÕES SANITÁRIAS</v>
      </c>
      <c r="D58" s="129" t="str">
        <f ca="1">IF(OFFSET(PO!O$12,ROW(D58)-ROW(D$12),0)=0,"",OFFSET(PO!O$12,ROW(D58)-ROW(D$12),0))</f>
        <v/>
      </c>
      <c r="E58" s="165">
        <f ca="1">IF($A58&lt;&gt;"Serviço",0,ROUND(SUMIF($F$9:$BD$9,"&lt;&gt;",$F58:$BD58),15-13*PO!$X$3))</f>
        <v>0</v>
      </c>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I58" s="215"/>
    </row>
    <row r="59" spans="1:61" s="4" customFormat="1" ht="38.25">
      <c r="A59" s="128" t="str">
        <f ca="1">OFFSET(PO!J$12,ROW(A59)-ROW($A$12),0)</f>
        <v>Serviço</v>
      </c>
      <c r="B59" s="130" t="str">
        <f ca="1">IF($A59=0,"",OFFSET(PO!K$12,ROW(B59)-ROW(B$12),0))</f>
        <v>8.0.1.</v>
      </c>
      <c r="C59" s="127" t="str">
        <f ca="1">IF(OFFSET(PO!N$12,ROW(C59)-ROW(C$12),0)=0,"",OFFSET(PO!N$12,ROW(C59)-ROW(C$12),0))</f>
        <v>TUBO PVC, SERIE NORMAL, ESGOTO PREDIAL, DN 100 MM, FORNECIDO E INSTALADO EM SUBCOLETOR AÉREO DE ESGOTO SANITÁRIO. AF_08/2022</v>
      </c>
      <c r="D59" s="129" t="str">
        <f ca="1">IF(OFFSET(PO!O$12,ROW(D59)-ROW(D$12),0)=0,"",OFFSET(PO!O$12,ROW(D59)-ROW(D$12),0))</f>
        <v>M</v>
      </c>
      <c r="E59" s="165">
        <f ca="1">IF($A59&lt;&gt;"Serviço",0,ROUND(SUMIF($F$9:$BD$9,"&lt;&gt;",$F59:$BD59),15-13*PO!$X$3))</f>
        <v>65</v>
      </c>
      <c r="F59" s="400">
        <v>65</v>
      </c>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I59" s="215"/>
    </row>
    <row r="60" spans="1:61" s="4" customFormat="1" ht="38.25">
      <c r="A60" s="128" t="str">
        <f ca="1">OFFSET(PO!J$12,ROW(A60)-ROW($A$12),0)</f>
        <v>Serviço</v>
      </c>
      <c r="B60" s="130" t="str">
        <f ca="1">IF($A60=0,"",OFFSET(PO!K$12,ROW(B60)-ROW(B$12),0))</f>
        <v>8.0.2.</v>
      </c>
      <c r="C60" s="127" t="str">
        <f ca="1">IF(OFFSET(PO!N$12,ROW(C60)-ROW(C$12),0)=0,"",OFFSET(PO!N$12,ROW(C60)-ROW(C$12),0))</f>
        <v>TUBO PVC, SERIE NORMAL, ESGOTO PREDIAL, DN 50 MM, FORNECIDO E INSTALADO EM PRUMADA DE ESGOTO SANITÁRIO OU VENTILAÇÃO. AF_08/2022</v>
      </c>
      <c r="D60" s="129" t="str">
        <f ca="1">IF(OFFSET(PO!O$12,ROW(D60)-ROW(D$12),0)=0,"",OFFSET(PO!O$12,ROW(D60)-ROW(D$12),0))</f>
        <v>M</v>
      </c>
      <c r="E60" s="165">
        <f ca="1">IF($A60&lt;&gt;"Serviço",0,ROUND(SUMIF($F$9:$BD$9,"&lt;&gt;",$F60:$BD60),15-13*PO!$X$3))</f>
        <v>28</v>
      </c>
      <c r="F60" s="400">
        <v>28</v>
      </c>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I60" s="215"/>
    </row>
    <row r="61" spans="1:61" s="4" customFormat="1" ht="25.5">
      <c r="A61" s="128" t="str">
        <f ca="1">OFFSET(PO!J$12,ROW(A61)-ROW($A$12),0)</f>
        <v>Serviço</v>
      </c>
      <c r="B61" s="130" t="str">
        <f ca="1">IF($A61=0,"",OFFSET(PO!K$12,ROW(B61)-ROW(B$12),0))</f>
        <v>8.0.3.</v>
      </c>
      <c r="C61" s="127" t="str">
        <f ca="1">IF(OFFSET(PO!N$12,ROW(C61)-ROW(C$12),0)=0,"",OFFSET(PO!N$12,ROW(C61)-ROW(C$12),0))</f>
        <v xml:space="preserve">JUNCAO SIMPLES, PVC SERIE R, DN 100 X 100 MM, PARA ESGOTO PREDIAL                                                                                                                                                                                                                                                                                                                                                                                                                                         </v>
      </c>
      <c r="D61" s="129" t="str">
        <f ca="1">IF(OFFSET(PO!O$12,ROW(D61)-ROW(D$12),0)=0,"",OFFSET(PO!O$12,ROW(D61)-ROW(D$12),0))</f>
        <v xml:space="preserve">UN    </v>
      </c>
      <c r="E61" s="165">
        <f ca="1">IF($A61&lt;&gt;"Serviço",0,ROUND(SUMIF($F$9:$BD$9,"&lt;&gt;",$F61:$BD61),15-13*PO!$X$3))</f>
        <v>10</v>
      </c>
      <c r="F61" s="400">
        <v>10</v>
      </c>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I61" s="215"/>
    </row>
    <row r="62" spans="1:61" s="4" customFormat="1" ht="25.5">
      <c r="A62" s="128" t="str">
        <f ca="1">OFFSET(PO!J$12,ROW(A62)-ROW($A$12),0)</f>
        <v>Serviço</v>
      </c>
      <c r="B62" s="130" t="str">
        <f ca="1">IF($A62=0,"",OFFSET(PO!K$12,ROW(B62)-ROW(B$12),0))</f>
        <v>8.0.4.</v>
      </c>
      <c r="C62" s="127" t="str">
        <f ca="1">IF(OFFSET(PO!N$12,ROW(C62)-ROW(C$12),0)=0,"",OFFSET(PO!N$12,ROW(C62)-ROW(C$12),0))</f>
        <v xml:space="preserve">JOELHO, PVC SERIE R, 90 GRAUS, DN 100 MM, PARA ESGOTO PREDIAL                                                                                                                                                                                                                                                                                                                                                                                                                                             </v>
      </c>
      <c r="D62" s="129" t="str">
        <f ca="1">IF(OFFSET(PO!O$12,ROW(D62)-ROW(D$12),0)=0,"",OFFSET(PO!O$12,ROW(D62)-ROW(D$12),0))</f>
        <v xml:space="preserve">UN    </v>
      </c>
      <c r="E62" s="165">
        <f ca="1">IF($A62&lt;&gt;"Serviço",0,ROUND(SUMIF($F$9:$BD$9,"&lt;&gt;",$F62:$BD62),15-13*PO!$X$3))</f>
        <v>6</v>
      </c>
      <c r="F62" s="400">
        <v>6</v>
      </c>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I62" s="215"/>
    </row>
    <row r="63" spans="1:61" s="4" customFormat="1" ht="25.5">
      <c r="A63" s="128" t="str">
        <f ca="1">OFFSET(PO!J$12,ROW(A63)-ROW($A$12),0)</f>
        <v>Serviço</v>
      </c>
      <c r="B63" s="130" t="str">
        <f ca="1">IF($A63=0,"",OFFSET(PO!K$12,ROW(B63)-ROW(B$12),0))</f>
        <v>8.0.5.</v>
      </c>
      <c r="C63" s="127" t="str">
        <f ca="1">IF(OFFSET(PO!N$12,ROW(C63)-ROW(C$12),0)=0,"",OFFSET(PO!N$12,ROW(C63)-ROW(C$12),0))</f>
        <v xml:space="preserve">JOELHO, PVC SERIE R, 45 GRAUS, DN 50 MM, PARA ESGOTO PREDIAL                                                                                                                                                                                                                                                                                                                                                                                                                                              </v>
      </c>
      <c r="D63" s="129" t="str">
        <f ca="1">IF(OFFSET(PO!O$12,ROW(D63)-ROW(D$12),0)=0,"",OFFSET(PO!O$12,ROW(D63)-ROW(D$12),0))</f>
        <v xml:space="preserve">UN    </v>
      </c>
      <c r="E63" s="165">
        <f ca="1">IF($A63&lt;&gt;"Serviço",0,ROUND(SUMIF($F$9:$BD$9,"&lt;&gt;",$F63:$BD63),15-13*PO!$X$3))</f>
        <v>4</v>
      </c>
      <c r="F63" s="400">
        <v>4</v>
      </c>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I63" s="215"/>
    </row>
    <row r="64" spans="1:61" s="4" customFormat="1" ht="25.5">
      <c r="A64" s="128" t="str">
        <f ca="1">OFFSET(PO!J$12,ROW(A64)-ROW($A$12),0)</f>
        <v>Serviço</v>
      </c>
      <c r="B64" s="130" t="str">
        <f ca="1">IF($A64=0,"",OFFSET(PO!K$12,ROW(B64)-ROW(B$12),0))</f>
        <v>8.0.6.</v>
      </c>
      <c r="C64" s="127" t="str">
        <f ca="1">IF(OFFSET(PO!N$12,ROW(C64)-ROW(C$12),0)=0,"",OFFSET(PO!N$12,ROW(C64)-ROW(C$12),0))</f>
        <v xml:space="preserve">CURVA PVC LONGA 90 GRAUS, DN 100 MM, PARA ESGOTO PREDIAL                                                                                                                                                                                                                                                                                                                                                                                                                                                  </v>
      </c>
      <c r="D64" s="129" t="str">
        <f ca="1">IF(OFFSET(PO!O$12,ROW(D64)-ROW(D$12),0)=0,"",OFFSET(PO!O$12,ROW(D64)-ROW(D$12),0))</f>
        <v xml:space="preserve">UN    </v>
      </c>
      <c r="E64" s="165">
        <f ca="1">IF($A64&lt;&gt;"Serviço",0,ROUND(SUMIF($F$9:$BD$9,"&lt;&gt;",$F64:$BD64),15-13*PO!$X$3))</f>
        <v>4</v>
      </c>
      <c r="F64" s="400">
        <v>4</v>
      </c>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I64" s="215"/>
    </row>
    <row r="65" spans="1:61" s="4" customFormat="1" ht="25.5">
      <c r="A65" s="128" t="str">
        <f ca="1">OFFSET(PO!J$12,ROW(A65)-ROW($A$12),0)</f>
        <v>Serviço</v>
      </c>
      <c r="B65" s="130" t="str">
        <f ca="1">IF($A65=0,"",OFFSET(PO!K$12,ROW(B65)-ROW(B$12),0))</f>
        <v>8.0.7.</v>
      </c>
      <c r="C65" s="127" t="str">
        <f ca="1">IF(OFFSET(PO!N$12,ROW(C65)-ROW(C$12),0)=0,"",OFFSET(PO!N$12,ROW(C65)-ROW(C$12),0))</f>
        <v xml:space="preserve">CURVA PVC LONGA 90 GRAUS, DN 50 MM, PARA ESGOTO PREDIAL                                                                                                                                                                                                                                                                                                                                                                                                                                                   </v>
      </c>
      <c r="D65" s="129" t="str">
        <f ca="1">IF(OFFSET(PO!O$12,ROW(D65)-ROW(D$12),0)=0,"",OFFSET(PO!O$12,ROW(D65)-ROW(D$12),0))</f>
        <v xml:space="preserve">UN    </v>
      </c>
      <c r="E65" s="165">
        <f ca="1">IF($A65&lt;&gt;"Serviço",0,ROUND(SUMIF($F$9:$BD$9,"&lt;&gt;",$F65:$BD65),15-13*PO!$X$3))</f>
        <v>7</v>
      </c>
      <c r="F65" s="400">
        <v>7</v>
      </c>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I65" s="215"/>
    </row>
    <row r="66" spans="1:61" s="4" customFormat="1" ht="38.25">
      <c r="A66" s="128" t="str">
        <f ca="1">OFFSET(PO!J$12,ROW(A66)-ROW($A$12),0)</f>
        <v>Serviço</v>
      </c>
      <c r="B66" s="130" t="str">
        <f ca="1">IF($A66=0,"",OFFSET(PO!K$12,ROW(B66)-ROW(B$12),0))</f>
        <v>8.0.8.</v>
      </c>
      <c r="C66" s="127" t="str">
        <f ca="1">IF(OFFSET(PO!N$12,ROW(C66)-ROW(C$12),0)=0,"",OFFSET(PO!N$12,ROW(C66)-ROW(C$12),0))</f>
        <v>LUVA DE CORRER, PVC, SERIE NORMAL, ESGOTO PREDIAL, DN 100 MM, JUNTA ELÁSTICA, FORNECIDO E INSTALADO EM SUBCOLETOR AÉREO DE ESGOTO SANITÁRIO. AF_08/2022</v>
      </c>
      <c r="D66" s="129" t="str">
        <f ca="1">IF(OFFSET(PO!O$12,ROW(D66)-ROW(D$12),0)=0,"",OFFSET(PO!O$12,ROW(D66)-ROW(D$12),0))</f>
        <v>UN</v>
      </c>
      <c r="E66" s="165">
        <f ca="1">IF($A66&lt;&gt;"Serviço",0,ROUND(SUMIF($F$9:$BD$9,"&lt;&gt;",$F66:$BD66),15-13*PO!$X$3))</f>
        <v>6</v>
      </c>
      <c r="F66" s="400">
        <v>6</v>
      </c>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I66" s="215"/>
    </row>
    <row r="67" spans="1:61" s="4" customFormat="1" ht="51">
      <c r="A67" s="128" t="str">
        <f ca="1">OFFSET(PO!J$12,ROW(A67)-ROW($A$12),0)</f>
        <v>Serviço</v>
      </c>
      <c r="B67" s="130" t="str">
        <f ca="1">IF($A67=0,"",OFFSET(PO!K$12,ROW(B67)-ROW(B$12),0))</f>
        <v>8.0.9.</v>
      </c>
      <c r="C67" s="127" t="str">
        <f ca="1">IF(OFFSET(PO!N$12,ROW(C67)-ROW(C$12),0)=0,"",OFFSET(PO!N$12,ROW(C67)-ROW(C$12),0))</f>
        <v>LUVA DE CORRER, PVC, SERIE NORMAL, ESGOTO PREDIAL, DN 50 MM, JUNTA ELÁSTICA, FORNECIDO E INSTALADO EM PRUMADA DE ESGOTO SANITÁRIO OU VENTILAÇÃO. AF_08/2022</v>
      </c>
      <c r="D67" s="129" t="str">
        <f ca="1">IF(OFFSET(PO!O$12,ROW(D67)-ROW(D$12),0)=0,"",OFFSET(PO!O$12,ROW(D67)-ROW(D$12),0))</f>
        <v>UN</v>
      </c>
      <c r="E67" s="165">
        <f ca="1">IF($A67&lt;&gt;"Serviço",0,ROUND(SUMIF($F$9:$BD$9,"&lt;&gt;",$F67:$BD67),15-13*PO!$X$3))</f>
        <v>6</v>
      </c>
      <c r="F67" s="400">
        <v>6</v>
      </c>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I67" s="215"/>
    </row>
    <row r="68" spans="1:61" s="4" customFormat="1" ht="38.25">
      <c r="A68" s="128" t="str">
        <f ca="1">OFFSET(PO!J$12,ROW(A68)-ROW($A$12),0)</f>
        <v>Serviço</v>
      </c>
      <c r="B68" s="130" t="str">
        <f ca="1">IF($A68=0,"",OFFSET(PO!K$12,ROW(B68)-ROW(B$12),0))</f>
        <v>8.0.10.</v>
      </c>
      <c r="C68" s="127" t="str">
        <f ca="1">IF(OFFSET(PO!N$12,ROW(C68)-ROW(C$12),0)=0,"",OFFSET(PO!N$12,ROW(C68)-ROW(C$12),0))</f>
        <v>TE, PVC, SERIE NORMAL, ESGOTO PREDIAL, DN 100 X 100 MM, JUNTA ELÁSTICA, FORNECIDO E INSTALADO EM PRUMADA DE ESGOTO SANITÁRIO OU VENTILAÇÃO. AF_08/2022</v>
      </c>
      <c r="D68" s="129" t="str">
        <f ca="1">IF(OFFSET(PO!O$12,ROW(D68)-ROW(D$12),0)=0,"",OFFSET(PO!O$12,ROW(D68)-ROW(D$12),0))</f>
        <v>UN</v>
      </c>
      <c r="E68" s="165">
        <f ca="1">IF($A68&lt;&gt;"Serviço",0,ROUND(SUMIF($F$9:$BD$9,"&lt;&gt;",$F68:$BD68),15-13*PO!$X$3))</f>
        <v>4</v>
      </c>
      <c r="F68" s="400">
        <v>4</v>
      </c>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I68" s="215"/>
    </row>
    <row r="69" spans="1:61" s="4" customFormat="1" ht="38.25">
      <c r="A69" s="128" t="str">
        <f ca="1">OFFSET(PO!J$12,ROW(A69)-ROW($A$12),0)</f>
        <v>Serviço</v>
      </c>
      <c r="B69" s="130" t="str">
        <f ca="1">IF($A69=0,"",OFFSET(PO!K$12,ROW(B69)-ROW(B$12),0))</f>
        <v>8.0.11.</v>
      </c>
      <c r="C69" s="127" t="str">
        <f ca="1">IF(OFFSET(PO!N$12,ROW(C69)-ROW(C$12),0)=0,"",OFFSET(PO!N$12,ROW(C69)-ROW(C$12),0))</f>
        <v>TE, PVC, SÉRIE NORMAL, ESGOTO PREDIAL, DN 100 X 50 MM, JUNTA ELÁSTICA, FORNECIDO E INSTALADO EM PRUMADA DE ESGOTO SANITÁRIO OU VENTILAÇÃO. AF_08/2022</v>
      </c>
      <c r="D69" s="129" t="str">
        <f ca="1">IF(OFFSET(PO!O$12,ROW(D69)-ROW(D$12),0)=0,"",OFFSET(PO!O$12,ROW(D69)-ROW(D$12),0))</f>
        <v>UN</v>
      </c>
      <c r="E69" s="165">
        <f ca="1">IF($A69&lt;&gt;"Serviço",0,ROUND(SUMIF($F$9:$BD$9,"&lt;&gt;",$F69:$BD69),15-13*PO!$X$3))</f>
        <v>4</v>
      </c>
      <c r="F69" s="400">
        <v>4</v>
      </c>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I69" s="215"/>
    </row>
    <row r="70" spans="1:61" s="4" customFormat="1" ht="38.25">
      <c r="A70" s="128" t="str">
        <f ca="1">OFFSET(PO!J$12,ROW(A70)-ROW($A$12),0)</f>
        <v>Serviço</v>
      </c>
      <c r="B70" s="130" t="str">
        <f ca="1">IF($A70=0,"",OFFSET(PO!K$12,ROW(B70)-ROW(B$12),0))</f>
        <v>8.0.12.</v>
      </c>
      <c r="C70" s="127" t="str">
        <f ca="1">IF(OFFSET(PO!N$12,ROW(C70)-ROW(C$12),0)=0,"",OFFSET(PO!N$12,ROW(C70)-ROW(C$12),0))</f>
        <v>CAIXA ENTERRADA HIDRÁULICA RETANGULAR EM ALVENARIA COM TIJOLOS CERÂMICOS MACIÇOS, DIMENSÕES INTERNAS: 0,4X0,4X0,4 M PARA REDE DE ESGOTO. AF_12/2020</v>
      </c>
      <c r="D70" s="129" t="str">
        <f ca="1">IF(OFFSET(PO!O$12,ROW(D70)-ROW(D$12),0)=0,"",OFFSET(PO!O$12,ROW(D70)-ROW(D$12),0))</f>
        <v>UN</v>
      </c>
      <c r="E70" s="165">
        <f ca="1">IF($A70&lt;&gt;"Serviço",0,ROUND(SUMIF($F$9:$BD$9,"&lt;&gt;",$F70:$BD70),15-13*PO!$X$3))</f>
        <v>4</v>
      </c>
      <c r="F70" s="400">
        <v>4</v>
      </c>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I70" s="215"/>
    </row>
    <row r="71" spans="1:61" s="4" customFormat="1" ht="38.25">
      <c r="A71" s="128" t="str">
        <f ca="1">OFFSET(PO!J$12,ROW(A71)-ROW($A$12),0)</f>
        <v>Serviço</v>
      </c>
      <c r="B71" s="130" t="str">
        <f ca="1">IF($A71=0,"",OFFSET(PO!K$12,ROW(B71)-ROW(B$12),0))</f>
        <v>8.0.13.</v>
      </c>
      <c r="C71" s="127" t="str">
        <f ca="1">IF(OFFSET(PO!N$12,ROW(C71)-ROW(C$12),0)=0,"",OFFSET(PO!N$12,ROW(C71)-ROW(C$12),0))</f>
        <v>CAIXA DE GORDURA SIMPLES, CIRCULAR, EM CONCRETO PRÉ-MOLDADO, DIÂMETRO INTERNO = 0,4 M, ALTURA INTERNA = 0,4 M. AF_12/2020</v>
      </c>
      <c r="D71" s="129" t="str">
        <f ca="1">IF(OFFSET(PO!O$12,ROW(D71)-ROW(D$12),0)=0,"",OFFSET(PO!O$12,ROW(D71)-ROW(D$12),0))</f>
        <v>UN</v>
      </c>
      <c r="E71" s="165">
        <f ca="1">IF($A71&lt;&gt;"Serviço",0,ROUND(SUMIF($F$9:$BD$9,"&lt;&gt;",$F71:$BD71),15-13*PO!$X$3))</f>
        <v>3</v>
      </c>
      <c r="F71" s="400">
        <v>3</v>
      </c>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I71" s="215"/>
    </row>
    <row r="72" spans="1:61" s="4" customFormat="1" ht="25.5">
      <c r="A72" s="128" t="str">
        <f ca="1">OFFSET(PO!J$12,ROW(A72)-ROW($A$12),0)</f>
        <v>Serviço</v>
      </c>
      <c r="B72" s="130" t="str">
        <f ca="1">IF($A72=0,"",OFFSET(PO!K$12,ROW(B72)-ROW(B$12),0))</f>
        <v>8.0.14.</v>
      </c>
      <c r="C72" s="127" t="str">
        <f ca="1">IF(OFFSET(PO!N$12,ROW(C72)-ROW(C$12),0)=0,"",OFFSET(PO!N$12,ROW(C72)-ROW(C$12),0))</f>
        <v xml:space="preserve">FILTRO ANAEROBIO, EM POLIETILENO DE ALTA DENSIDADE (PEAD), CAPACIDADE *2800* LITROS (NBR 13969)                                                                                                                                                                                                                                                                                                                                                                                                           </v>
      </c>
      <c r="D72" s="129" t="str">
        <f ca="1">IF(OFFSET(PO!O$12,ROW(D72)-ROW(D$12),0)=0,"",OFFSET(PO!O$12,ROW(D72)-ROW(D$12),0))</f>
        <v xml:space="preserve">UN    </v>
      </c>
      <c r="E72" s="165">
        <f ca="1">IF($A72&lt;&gt;"Serviço",0,ROUND(SUMIF($F$9:$BD$9,"&lt;&gt;",$F72:$BD72),15-13*PO!$X$3))</f>
        <v>2</v>
      </c>
      <c r="F72" s="400">
        <v>2</v>
      </c>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I72" s="215"/>
    </row>
    <row r="73" spans="1:61" s="4" customFormat="1" ht="51">
      <c r="A73" s="128" t="str">
        <f ca="1">OFFSET(PO!J$12,ROW(A73)-ROW($A$12),0)</f>
        <v>Serviço</v>
      </c>
      <c r="B73" s="130" t="str">
        <f ca="1">IF($A73=0,"",OFFSET(PO!K$12,ROW(B73)-ROW(B$12),0))</f>
        <v>8.0.15.</v>
      </c>
      <c r="C73" s="127" t="str">
        <f ca="1">IF(OFFSET(PO!N$12,ROW(C73)-ROW(C$12),0)=0,"",OFFSET(PO!N$12,ROW(C73)-ROW(C$12),0))</f>
        <v xml:space="preserve">FOSSA SEPTICA, SEM FILTRO, EM POLIETILENO DE ALTA DENSIDADE (PEAD), PARA 8 A 14 CONTRIBUINTES, CILINDRICA, COM TAMPA, CAPACIDADE APROXIMADA DE *3000* LITROS (NBR 7229)                                                                                                                                                                                                                                                                                                                                   </v>
      </c>
      <c r="D73" s="129" t="str">
        <f ca="1">IF(OFFSET(PO!O$12,ROW(D73)-ROW(D$12),0)=0,"",OFFSET(PO!O$12,ROW(D73)-ROW(D$12),0))</f>
        <v xml:space="preserve">UN    </v>
      </c>
      <c r="E73" s="165">
        <f ca="1">IF($A73&lt;&gt;"Serviço",0,ROUND(SUMIF($F$9:$BD$9,"&lt;&gt;",$F73:$BD73),15-13*PO!$X$3))</f>
        <v>2</v>
      </c>
      <c r="F73" s="400">
        <v>2</v>
      </c>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I73" s="215"/>
    </row>
    <row r="74" spans="1:61" s="4" customFormat="1" ht="12.75">
      <c r="A74" s="128" t="str">
        <f ca="1">OFFSET(PO!J$12,ROW(A74)-ROW($A$12),0)</f>
        <v>Meta</v>
      </c>
      <c r="B74" s="130" t="str">
        <f ca="1">IF($A74=0,"",OFFSET(PO!K$12,ROW(B74)-ROW(B$12),0))</f>
        <v>9.</v>
      </c>
      <c r="C74" s="127" t="str">
        <f ca="1">IF(OFFSET(PO!N$12,ROW(C74)-ROW(C$12),0)=0,"",OFFSET(PO!N$12,ROW(C74)-ROW(C$12),0))</f>
        <v>LOUÇAS E METAIS</v>
      </c>
      <c r="D74" s="129" t="str">
        <f ca="1">IF(OFFSET(PO!O$12,ROW(D74)-ROW(D$12),0)=0,"",OFFSET(PO!O$12,ROW(D74)-ROW(D$12),0))</f>
        <v/>
      </c>
      <c r="E74" s="165">
        <f ca="1">IF($A74&lt;&gt;"Serviço",0,ROUND(SUMIF($F$9:$BD$9,"&lt;&gt;",$F74:$BD74),15-13*PO!$X$3))</f>
        <v>0</v>
      </c>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I74" s="215"/>
    </row>
    <row r="75" spans="1:61" s="4" customFormat="1" ht="38.25">
      <c r="A75" s="128" t="str">
        <f ca="1">OFFSET(PO!J$12,ROW(A75)-ROW($A$12),0)</f>
        <v>Serviço</v>
      </c>
      <c r="B75" s="130" t="str">
        <f ca="1">IF($A75=0,"",OFFSET(PO!K$12,ROW(B75)-ROW(B$12),0))</f>
        <v>9.0.1.</v>
      </c>
      <c r="C75" s="127" t="str">
        <f ca="1">IF(OFFSET(PO!N$12,ROW(C75)-ROW(C$12),0)=0,"",OFFSET(PO!N$12,ROW(C75)-ROW(C$12),0))</f>
        <v xml:space="preserve">BACIA SANITARIA (VASO) COM CAIXA ACOPLADA, SIFAO OCULTO / CARENADO, DE LOUCA BRANCA (SEM ASSENTO ) - PADRAO ALTO                                                                                                                                                                                                                                                                                                                                                                                          </v>
      </c>
      <c r="D75" s="129" t="str">
        <f ca="1">IF(OFFSET(PO!O$12,ROW(D75)-ROW(D$12),0)=0,"",OFFSET(PO!O$12,ROW(D75)-ROW(D$12),0))</f>
        <v xml:space="preserve">UN    </v>
      </c>
      <c r="E75" s="165">
        <f ca="1">IF($A75&lt;&gt;"Serviço",0,ROUND(SUMIF($F$9:$BD$9,"&lt;&gt;",$F75:$BD75),15-13*PO!$X$3))</f>
        <v>8</v>
      </c>
      <c r="F75" s="400">
        <v>8</v>
      </c>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I75" s="215"/>
    </row>
    <row r="76" spans="1:61" s="4" customFormat="1" ht="38.25">
      <c r="A76" s="128" t="str">
        <f ca="1">OFFSET(PO!J$12,ROW(A76)-ROW($A$12),0)</f>
        <v>Serviço</v>
      </c>
      <c r="B76" s="130" t="str">
        <f ca="1">IF($A76=0,"",OFFSET(PO!K$12,ROW(B76)-ROW(B$12),0))</f>
        <v>9.0.2.</v>
      </c>
      <c r="C76" s="127" t="str">
        <f ca="1">IF(OFFSET(PO!N$12,ROW(C76)-ROW(C$12),0)=0,"",OFFSET(PO!N$12,ROW(C76)-ROW(C$12),0))</f>
        <v>VASO SANITARIO SIFONADO CONVENCIONAL PARA PCD SEM FURO FRONTAL COM  LOUÇA BRANCA SEM ASSENTO -  FORNECIMENTO E INSTALAÇÃO. AF_01/2020</v>
      </c>
      <c r="D76" s="129" t="str">
        <f ca="1">IF(OFFSET(PO!O$12,ROW(D76)-ROW(D$12),0)=0,"",OFFSET(PO!O$12,ROW(D76)-ROW(D$12),0))</f>
        <v>UN</v>
      </c>
      <c r="E76" s="165">
        <f ca="1">IF($A76&lt;&gt;"Serviço",0,ROUND(SUMIF($F$9:$BD$9,"&lt;&gt;",$F76:$BD76),15-13*PO!$X$3))</f>
        <v>2</v>
      </c>
      <c r="F76" s="400">
        <v>2</v>
      </c>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I76" s="215"/>
    </row>
    <row r="77" spans="1:61" s="4" customFormat="1" ht="38.25">
      <c r="A77" s="128" t="str">
        <f ca="1">OFFSET(PO!J$12,ROW(A77)-ROW($A$12),0)</f>
        <v>Serviço</v>
      </c>
      <c r="B77" s="130" t="str">
        <f ca="1">IF($A77=0,"",OFFSET(PO!K$12,ROW(B77)-ROW(B$12),0))</f>
        <v>9.0.3.</v>
      </c>
      <c r="C77" s="127" t="str">
        <f ca="1">IF(OFFSET(PO!N$12,ROW(C77)-ROW(C$12),0)=0,"",OFFSET(PO!N$12,ROW(C77)-ROW(C$12),0))</f>
        <v>MICTÓRIO SIFONADO LOUÇA BRANCA PARA ENTRADA DE ÁGUA EMBUTIDA  PADRÃO ALTO  FORNECIMENTO E INSTALAÇÃO. AF_01/2020</v>
      </c>
      <c r="D77" s="129" t="str">
        <f ca="1">IF(OFFSET(PO!O$12,ROW(D77)-ROW(D$12),0)=0,"",OFFSET(PO!O$12,ROW(D77)-ROW(D$12),0))</f>
        <v>UN</v>
      </c>
      <c r="E77" s="165">
        <f ca="1">IF($A77&lt;&gt;"Serviço",0,ROUND(SUMIF($F$9:$BD$9,"&lt;&gt;",$F77:$BD77),15-13*PO!$X$3))</f>
        <v>2</v>
      </c>
      <c r="F77" s="400">
        <v>2</v>
      </c>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I77" s="215"/>
    </row>
    <row r="78" spans="1:61" s="4" customFormat="1" ht="63.75">
      <c r="A78" s="128" t="str">
        <f ca="1">OFFSET(PO!J$12,ROW(A78)-ROW($A$12),0)</f>
        <v>Serviço</v>
      </c>
      <c r="B78" s="130" t="str">
        <f ca="1">IF($A78=0,"",OFFSET(PO!K$12,ROW(B78)-ROW(B$12),0))</f>
        <v>9.0.4.</v>
      </c>
      <c r="C78" s="127" t="str">
        <f ca="1">IF(OFFSET(PO!N$12,ROW(C78)-ROW(C$12),0)=0,"",OFFSET(PO!N$12,ROW(C78)-ROW(C$12),0))</f>
        <v>BANCADA GRANITO CINZA,  50 X 60 CM, INCL. CUBA DE EMBUTIR OVAL LOUÇA BRANCA 35 X 50 CM, VÁLVULA METAL CROMADO, SIFÃO FLEXÍVEL PVC, ENGATE 30 CM FLEXÍVEL PLÁSTICO E TORNEIRA CROMADA DE MESA, PADRÃO POPULAR - FORNEC. E INSTALAÇÃO. AF_01/2020</v>
      </c>
      <c r="D78" s="129" t="str">
        <f ca="1">IF(OFFSET(PO!O$12,ROW(D78)-ROW(D$12),0)=0,"",OFFSET(PO!O$12,ROW(D78)-ROW(D$12),0))</f>
        <v>UN</v>
      </c>
      <c r="E78" s="165">
        <f ca="1">IF($A78&lt;&gt;"Serviço",0,ROUND(SUMIF($F$9:$BD$9,"&lt;&gt;",$F78:$BD78),15-13*PO!$X$3))</f>
        <v>6</v>
      </c>
      <c r="F78" s="400">
        <v>6</v>
      </c>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I78" s="215"/>
    </row>
    <row r="79" spans="1:61" s="4" customFormat="1" ht="25.5">
      <c r="A79" s="128" t="str">
        <f ca="1">OFFSET(PO!J$12,ROW(A79)-ROW($A$12),0)</f>
        <v>Serviço</v>
      </c>
      <c r="B79" s="130" t="str">
        <f ca="1">IF($A79=0,"",OFFSET(PO!K$12,ROW(B79)-ROW(B$12),0))</f>
        <v>9.0.5.</v>
      </c>
      <c r="C79" s="127" t="str">
        <f ca="1">IF(OFFSET(PO!N$12,ROW(C79)-ROW(C$12),0)=0,"",OFFSET(PO!N$12,ROW(C79)-ROW(C$12),0))</f>
        <v>TORNEIRA CROMADA DE MESA, 1/2 OU 3/4, PARA LAVATÓRIO, PADRÃO MÉDIO - FORNECIMENTO E INSTALAÇÃO. AF_01/2020</v>
      </c>
      <c r="D79" s="129" t="str">
        <f ca="1">IF(OFFSET(PO!O$12,ROW(D79)-ROW(D$12),0)=0,"",OFFSET(PO!O$12,ROW(D79)-ROW(D$12),0))</f>
        <v>UN</v>
      </c>
      <c r="E79" s="165">
        <f ca="1">IF($A79&lt;&gt;"Serviço",0,ROUND(SUMIF($F$9:$BD$9,"&lt;&gt;",$F79:$BD79),15-13*PO!$X$3))</f>
        <v>6</v>
      </c>
      <c r="F79" s="400">
        <v>6</v>
      </c>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I79" s="215"/>
    </row>
    <row r="80" spans="1:61" s="4" customFormat="1" ht="25.5">
      <c r="A80" s="128" t="str">
        <f ca="1">OFFSET(PO!J$12,ROW(A80)-ROW($A$12),0)</f>
        <v>Serviço</v>
      </c>
      <c r="B80" s="130" t="str">
        <f ca="1">IF($A80=0,"",OFFSET(PO!K$12,ROW(B80)-ROW(B$12),0))</f>
        <v>9.0.6.</v>
      </c>
      <c r="C80" s="127" t="str">
        <f ca="1">IF(OFFSET(PO!N$12,ROW(C80)-ROW(C$12),0)=0,"",OFFSET(PO!N$12,ROW(C80)-ROW(C$12),0))</f>
        <v xml:space="preserve">REGISTRO GAVETA COM ACABAMENTO E CANOPLA CROMADOS, SIMPLES, BITOLA 3/4 " (REF 1509)                                                                                                                                                                                                                                                                                                                                                                                                                       </v>
      </c>
      <c r="D80" s="129" t="str">
        <f ca="1">IF(OFFSET(PO!O$12,ROW(D80)-ROW(D$12),0)=0,"",OFFSET(PO!O$12,ROW(D80)-ROW(D$12),0))</f>
        <v xml:space="preserve">UN    </v>
      </c>
      <c r="E80" s="165">
        <f ca="1">IF($A80&lt;&gt;"Serviço",0,ROUND(SUMIF($F$9:$BD$9,"&lt;&gt;",$F80:$BD80),15-13*PO!$X$3))</f>
        <v>5</v>
      </c>
      <c r="F80" s="400">
        <v>5</v>
      </c>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I80" s="215"/>
    </row>
    <row r="81" spans="1:61" s="4" customFormat="1" ht="25.5">
      <c r="A81" s="128" t="str">
        <f ca="1">OFFSET(PO!J$12,ROW(A81)-ROW($A$12),0)</f>
        <v>Serviço</v>
      </c>
      <c r="B81" s="130" t="str">
        <f ca="1">IF($A81=0,"",OFFSET(PO!K$12,ROW(B81)-ROW(B$12),0))</f>
        <v>9.0.7.</v>
      </c>
      <c r="C81" s="127" t="str">
        <f ca="1">IF(OFFSET(PO!N$12,ROW(C81)-ROW(C$12),0)=0,"",OFFSET(PO!N$12,ROW(C81)-ROW(C$12),0))</f>
        <v xml:space="preserve">REGISTRO PRESSAO COM ACABAMENTO E CANOPLA CROMADA, SIMPLES, BITOLA 3/4 " (REF 1416)                                                                                                                                                                                                                                                                                                                                                                                                                       </v>
      </c>
      <c r="D81" s="129" t="str">
        <f ca="1">IF(OFFSET(PO!O$12,ROW(D81)-ROW(D$12),0)=0,"",OFFSET(PO!O$12,ROW(D81)-ROW(D$12),0))</f>
        <v xml:space="preserve">UN    </v>
      </c>
      <c r="E81" s="165">
        <f ca="1">IF($A81&lt;&gt;"Serviço",0,ROUND(SUMIF($F$9:$BD$9,"&lt;&gt;",$F81:$BD81),15-13*PO!$X$3))</f>
        <v>2</v>
      </c>
      <c r="F81" s="400">
        <v>2</v>
      </c>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I81" s="215"/>
    </row>
    <row r="82" spans="1:61" s="4" customFormat="1" ht="12.75">
      <c r="A82" s="128" t="str">
        <f ca="1">OFFSET(PO!J$12,ROW(A82)-ROW($A$12),0)</f>
        <v>Serviço</v>
      </c>
      <c r="B82" s="130" t="str">
        <f ca="1">IF($A82=0,"",OFFSET(PO!K$12,ROW(B82)-ROW(B$12),0))</f>
        <v>9.0.8.</v>
      </c>
      <c r="C82" s="127" t="str">
        <f ca="1">IF(OFFSET(PO!N$12,ROW(C82)-ROW(C$12),0)=0,"",OFFSET(PO!N$12,ROW(C82)-ROW(C$12),0))</f>
        <v xml:space="preserve">ASSENTO SANITARIO DE PLASTICO, TIPO CONVENCIONAL                                                                                                                                                                                                                                                                                                                                                                                                                                                          </v>
      </c>
      <c r="D82" s="129" t="str">
        <f ca="1">IF(OFFSET(PO!O$12,ROW(D82)-ROW(D$12),0)=0,"",OFFSET(PO!O$12,ROW(D82)-ROW(D$12),0))</f>
        <v xml:space="preserve">UN    </v>
      </c>
      <c r="E82" s="165">
        <f ca="1">IF($A82&lt;&gt;"Serviço",0,ROUND(SUMIF($F$9:$BD$9,"&lt;&gt;",$F82:$BD82),15-13*PO!$X$3))</f>
        <v>10</v>
      </c>
      <c r="F82" s="400">
        <v>10</v>
      </c>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I82" s="215"/>
    </row>
    <row r="83" spans="1:61" s="4" customFormat="1" ht="12.75">
      <c r="A83" s="128" t="str">
        <f ca="1">OFFSET(PO!J$12,ROW(A83)-ROW($A$12),0)</f>
        <v>Serviço</v>
      </c>
      <c r="B83" s="130" t="str">
        <f ca="1">IF($A83=0,"",OFFSET(PO!K$12,ROW(B83)-ROW(B$12),0))</f>
        <v>9.0.9.</v>
      </c>
      <c r="C83" s="127" t="str">
        <f ca="1">IF(OFFSET(PO!N$12,ROW(C83)-ROW(C$12),0)=0,"",OFFSET(PO!N$12,ROW(C83)-ROW(C$12),0))</f>
        <v xml:space="preserve">ESPELHO CRISTAL E = 4 MM                                                                                                                                                                                                                                                                                                                                                                                                                                                                                  </v>
      </c>
      <c r="D83" s="129" t="str">
        <f ca="1">IF(OFFSET(PO!O$12,ROW(D83)-ROW(D$12),0)=0,"",OFFSET(PO!O$12,ROW(D83)-ROW(D$12),0))</f>
        <v xml:space="preserve">M2    </v>
      </c>
      <c r="E83" s="165">
        <f ca="1">IF($A83&lt;&gt;"Serviço",0,ROUND(SUMIF($F$9:$BD$9,"&lt;&gt;",$F83:$BD83),15-13*PO!$X$3))</f>
        <v>4</v>
      </c>
      <c r="F83" s="400">
        <f>2*1*2</f>
        <v>4</v>
      </c>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I83" s="215"/>
    </row>
    <row r="84" spans="1:61" s="4" customFormat="1" ht="25.5">
      <c r="A84" s="128" t="str">
        <f ca="1">OFFSET(PO!J$12,ROW(A84)-ROW($A$12),0)</f>
        <v>Serviço</v>
      </c>
      <c r="B84" s="130" t="str">
        <f ca="1">IF($A84=0,"",OFFSET(PO!K$12,ROW(B84)-ROW(B$12),0))</f>
        <v>9.0.10.</v>
      </c>
      <c r="C84" s="127" t="str">
        <f ca="1">IF(OFFSET(PO!N$12,ROW(C84)-ROW(C$12),0)=0,"",OFFSET(PO!N$12,ROW(C84)-ROW(C$12),0))</f>
        <v>KIT DE ACESSORIOS PARA BANHEIRO EM METAL CROMADO, 5 PECAS, INCLUSO FIXAÇÃO. AF_01/2020</v>
      </c>
      <c r="D84" s="129" t="str">
        <f ca="1">IF(OFFSET(PO!O$12,ROW(D84)-ROW(D$12),0)=0,"",OFFSET(PO!O$12,ROW(D84)-ROW(D$12),0))</f>
        <v>UN</v>
      </c>
      <c r="E84" s="165">
        <f ca="1">IF($A84&lt;&gt;"Serviço",0,ROUND(SUMIF($F$9:$BD$9,"&lt;&gt;",$F84:$BD84),15-13*PO!$X$3))</f>
        <v>2</v>
      </c>
      <c r="F84" s="400">
        <v>2</v>
      </c>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I84" s="215"/>
    </row>
    <row r="85" spans="1:61" s="4" customFormat="1" ht="12.75">
      <c r="A85" s="128" t="str">
        <f ca="1">OFFSET(PO!J$12,ROW(A85)-ROW($A$12),0)</f>
        <v>Meta</v>
      </c>
      <c r="B85" s="130" t="str">
        <f ca="1">IF($A85=0,"",OFFSET(PO!K$12,ROW(B85)-ROW(B$12),0))</f>
        <v>10.</v>
      </c>
      <c r="C85" s="127" t="str">
        <f ca="1">IF(OFFSET(PO!N$12,ROW(C85)-ROW(C$12),0)=0,"",OFFSET(PO!N$12,ROW(C85)-ROW(C$12),0))</f>
        <v>PISO</v>
      </c>
      <c r="D85" s="129" t="str">
        <f ca="1">IF(OFFSET(PO!O$12,ROW(D85)-ROW(D$12),0)=0,"",OFFSET(PO!O$12,ROW(D85)-ROW(D$12),0))</f>
        <v/>
      </c>
      <c r="E85" s="165">
        <f ca="1">IF($A85&lt;&gt;"Serviço",0,ROUND(SUMIF($F$9:$BD$9,"&lt;&gt;",$F85:$BD85),15-13*PO!$X$3))</f>
        <v>0</v>
      </c>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I85" s="215"/>
    </row>
    <row r="86" spans="1:61" s="4" customFormat="1" ht="12.75">
      <c r="A86" s="128" t="str">
        <f ca="1">OFFSET(PO!J$12,ROW(A86)-ROW($A$12),0)</f>
        <v>Nível 2</v>
      </c>
      <c r="B86" s="130" t="str">
        <f ca="1">IF($A86=0,"",OFFSET(PO!K$12,ROW(B86)-ROW(B$12),0))</f>
        <v>10.1.</v>
      </c>
      <c r="C86" s="127" t="str">
        <f ca="1">IF(OFFSET(PO!N$12,ROW(C86)-ROW(C$12),0)=0,"",OFFSET(PO!N$12,ROW(C86)-ROW(C$12),0))</f>
        <v>PISO POLIDO NA PISTA E CIRCULAÇÃO</v>
      </c>
      <c r="D86" s="129" t="str">
        <f ca="1">IF(OFFSET(PO!O$12,ROW(D86)-ROW(D$12),0)=0,"",OFFSET(PO!O$12,ROW(D86)-ROW(D$12),0))</f>
        <v/>
      </c>
      <c r="E86" s="165">
        <f ca="1">IF($A86&lt;&gt;"Serviço",0,ROUND(SUMIF($F$9:$BD$9,"&lt;&gt;",$F86:$BD86),15-13*PO!$X$3))</f>
        <v>0</v>
      </c>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I86" s="215"/>
    </row>
    <row r="87" spans="1:61" s="4" customFormat="1" ht="38.25">
      <c r="A87" s="128" t="str">
        <f ca="1">OFFSET(PO!J$12,ROW(A87)-ROW($A$12),0)</f>
        <v>Serviço</v>
      </c>
      <c r="B87" s="130" t="str">
        <f ca="1">IF($A87=0,"",OFFSET(PO!K$12,ROW(B87)-ROW(B$12),0))</f>
        <v>10.1.1.</v>
      </c>
      <c r="C87" s="127" t="str">
        <f ca="1">IF(OFFSET(PO!N$12,ROW(C87)-ROW(C$12),0)=0,"",OFFSET(PO!N$12,ROW(C87)-ROW(C$12),0))</f>
        <v>LASTRO COM MATERIAL GRANULAR (PEDRA BRITADA N.2), APLICADO EM PISOS OU LAJES SOBRE SOLO, ESPESSURA DE *10 CM*. AF_08/2017</v>
      </c>
      <c r="D87" s="129" t="str">
        <f ca="1">IF(OFFSET(PO!O$12,ROW(D87)-ROW(D$12),0)=0,"",OFFSET(PO!O$12,ROW(D87)-ROW(D$12),0))</f>
        <v>M3</v>
      </c>
      <c r="E87" s="165">
        <f ca="1">IF($A87&lt;&gt;"Serviço",0,ROUND(SUMIF($F$9:$BD$9,"&lt;&gt;",$F87:$BD87),15-13*PO!$X$3))</f>
        <v>44.18</v>
      </c>
      <c r="F87" s="400">
        <f>(221.25+400.45+221.25+40.55)*0.05</f>
        <v>44.175000000000004</v>
      </c>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I87" s="215"/>
    </row>
    <row r="88" spans="1:61" s="4" customFormat="1" ht="38.25">
      <c r="A88" s="128" t="str">
        <f ca="1">OFFSET(PO!J$12,ROW(A88)-ROW($A$12),0)</f>
        <v>Serviço</v>
      </c>
      <c r="B88" s="130" t="str">
        <f ca="1">IF($A88=0,"",OFFSET(PO!K$12,ROW(B88)-ROW(B$12),0))</f>
        <v>10.1.2.</v>
      </c>
      <c r="C88" s="127" t="str">
        <f ca="1">IF(OFFSET(PO!N$12,ROW(C88)-ROW(C$12),0)=0,"",OFFSET(PO!N$12,ROW(C88)-ROW(C$12),0))</f>
        <v>CONCRETAGEM DE RADIER, PISO DE CONCRETO OU LAJE SOBRE SOLO, FCK 30 MPA - LANÇAMENTO, ADENSAMENTO E ACABAMENTO. AF_09/2021</v>
      </c>
      <c r="D88" s="129" t="str">
        <f ca="1">IF(OFFSET(PO!O$12,ROW(D88)-ROW(D$12),0)=0,"",OFFSET(PO!O$12,ROW(D88)-ROW(D$12),0))</f>
        <v>M3</v>
      </c>
      <c r="E88" s="165">
        <f ca="1">IF($A88&lt;&gt;"Serviço",0,ROUND(SUMIF($F$9:$BD$9,"&lt;&gt;",$F88:$BD88),15-13*PO!$X$3))</f>
        <v>44.18</v>
      </c>
      <c r="F88" s="400">
        <f>(221.25+400.45+221.25+40.55)*0.05</f>
        <v>44.175000000000004</v>
      </c>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I88" s="215"/>
    </row>
    <row r="89" spans="1:61" s="4" customFormat="1" ht="38.25">
      <c r="A89" s="128" t="str">
        <f ca="1">OFFSET(PO!J$12,ROW(A89)-ROW($A$12),0)</f>
        <v>Serviço</v>
      </c>
      <c r="B89" s="130" t="str">
        <f ca="1">IF($A89=0,"",OFFSET(PO!K$12,ROW(B89)-ROW(B$12),0))</f>
        <v>10.1.3.</v>
      </c>
      <c r="C89" s="127" t="str">
        <f ca="1">IF(OFFSET(PO!N$12,ROW(C89)-ROW(C$12),0)=0,"",OFFSET(PO!N$12,ROW(C89)-ROW(C$12),0))</f>
        <v xml:space="preserve">TELA DE ACO SOLDADA NERVURADA, CA-60, Q-61, (0,97 KG/M2), DIAMETRO DO FIO = 3,4 MM, LARGURA = 2,45 M, ESPACAMENTO DA MALHA = 15 X 15 CM                                                                                                                                                                                                                                                                                                                                                                   </v>
      </c>
      <c r="D89" s="129" t="str">
        <f ca="1">IF(OFFSET(PO!O$12,ROW(D89)-ROW(D$12),0)=0,"",OFFSET(PO!O$12,ROW(D89)-ROW(D$12),0))</f>
        <v xml:space="preserve">M2    </v>
      </c>
      <c r="E89" s="165">
        <f ca="1">IF($A89&lt;&gt;"Serviço",0,ROUND(SUMIF($F$9:$BD$9,"&lt;&gt;",$F89:$BD89),15-13*PO!$X$3))</f>
        <v>885.5</v>
      </c>
      <c r="F89" s="400">
        <f>(221.25+400.45+221.25+42.55)</f>
        <v>885.5</v>
      </c>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I89" s="215"/>
    </row>
    <row r="90" spans="1:61" s="4" customFormat="1" ht="12.75">
      <c r="A90" s="128" t="str">
        <f ca="1">OFFSET(PO!J$12,ROW(A90)-ROW($A$12),0)</f>
        <v>Serviço</v>
      </c>
      <c r="B90" s="130" t="str">
        <f ca="1">IF($A90=0,"",OFFSET(PO!K$12,ROW(B90)-ROW(B$12),0))</f>
        <v>10.1.4.</v>
      </c>
      <c r="C90" s="127" t="str">
        <f ca="1">IF(OFFSET(PO!N$12,ROW(C90)-ROW(C$12),0)=0,"",OFFSET(PO!N$12,ROW(C90)-ROW(C$12),0))</f>
        <v>PREPARO DE CONTRAPISO COM POLITRIZ. AF_09/2020</v>
      </c>
      <c r="D90" s="129" t="str">
        <f ca="1">IF(OFFSET(PO!O$12,ROW(D90)-ROW(D$12),0)=0,"",OFFSET(PO!O$12,ROW(D90)-ROW(D$12),0))</f>
        <v>M2</v>
      </c>
      <c r="E90" s="165">
        <f ca="1">IF($A90&lt;&gt;"Serviço",0,ROUND(SUMIF($F$9:$BD$9,"&lt;&gt;",$F90:$BD90),15-13*PO!$X$3))</f>
        <v>885.5</v>
      </c>
      <c r="F90" s="400">
        <f>F89</f>
        <v>885.5</v>
      </c>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I90" s="215"/>
    </row>
    <row r="91" spans="1:61" s="4" customFormat="1" ht="12.75">
      <c r="A91" s="128" t="str">
        <f ca="1">OFFSET(PO!J$12,ROW(A91)-ROW($A$12),0)</f>
        <v>Nível 2</v>
      </c>
      <c r="B91" s="130" t="str">
        <f ca="1">IF($A91=0,"",OFFSET(PO!K$12,ROW(B91)-ROW(B$12),0))</f>
        <v>10.2.</v>
      </c>
      <c r="C91" s="127" t="str">
        <f ca="1">IF(OFFSET(PO!N$12,ROW(C91)-ROW(C$12),0)=0,"",OFFSET(PO!N$12,ROW(C91)-ROW(C$12),0))</f>
        <v>PISO CERÂMICO SALAS INTERNAS</v>
      </c>
      <c r="D91" s="129" t="str">
        <f ca="1">IF(OFFSET(PO!O$12,ROW(D91)-ROW(D$12),0)=0,"",OFFSET(PO!O$12,ROW(D91)-ROW(D$12),0))</f>
        <v/>
      </c>
      <c r="E91" s="165">
        <f ca="1">IF($A91&lt;&gt;"Serviço",0,ROUND(SUMIF($F$9:$BD$9,"&lt;&gt;",$F91:$BD91),15-13*PO!$X$3))</f>
        <v>0</v>
      </c>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I91" s="215"/>
    </row>
    <row r="92" spans="1:61" s="4" customFormat="1" ht="38.25">
      <c r="A92" s="128" t="str">
        <f ca="1">OFFSET(PO!J$12,ROW(A92)-ROW($A$12),0)</f>
        <v>Serviço</v>
      </c>
      <c r="B92" s="130" t="str">
        <f ca="1">IF($A92=0,"",OFFSET(PO!K$12,ROW(B92)-ROW(B$12),0))</f>
        <v>10.2.1.</v>
      </c>
      <c r="C92" s="127" t="str">
        <f ca="1">IF(OFFSET(PO!N$12,ROW(C92)-ROW(C$12),0)=0,"",OFFSET(PO!N$12,ROW(C92)-ROW(C$12),0))</f>
        <v>LASTRO COM MATERIAL GRANULAR (PEDRA BRITADA N.2), APLICADO EM PISOS OU LAJES SOBRE SOLO, ESPESSURA DE *10 CM*. AF_08/2017</v>
      </c>
      <c r="D92" s="129" t="str">
        <f ca="1">IF(OFFSET(PO!O$12,ROW(D92)-ROW(D$12),0)=0,"",OFFSET(PO!O$12,ROW(D92)-ROW(D$12),0))</f>
        <v>M3</v>
      </c>
      <c r="E92" s="165">
        <f ca="1">IF($A92&lt;&gt;"Serviço",0,ROUND(SUMIF($F$9:$BD$9,"&lt;&gt;",$F92:$BD92),15-13*PO!$X$3))</f>
        <v>8.62</v>
      </c>
      <c r="F92" s="400">
        <f>(31.77+14.55+60+14.55+31.77+47.05+47.05+40.55)*0.03</f>
        <v>8.6187</v>
      </c>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I92" s="215"/>
    </row>
    <row r="93" spans="1:61" s="4" customFormat="1" ht="38.25">
      <c r="A93" s="128" t="str">
        <f ca="1">OFFSET(PO!J$12,ROW(A93)-ROW($A$12),0)</f>
        <v>Serviço</v>
      </c>
      <c r="B93" s="130" t="str">
        <f ca="1">IF($A93=0,"",OFFSET(PO!K$12,ROW(B93)-ROW(B$12),0))</f>
        <v>10.2.2.</v>
      </c>
      <c r="C93" s="127" t="str">
        <f ca="1">IF(OFFSET(PO!N$12,ROW(C93)-ROW(C$12),0)=0,"",OFFSET(PO!N$12,ROW(C93)-ROW(C$12),0))</f>
        <v>CONCRETAGEM DE RADIER, PISO DE CONCRETO OU LAJE SOBRE SOLO, FCK 30 MPA - LANÇAMENTO, ADENSAMENTO E ACABAMENTO. AF_09/2021</v>
      </c>
      <c r="D93" s="129" t="str">
        <f ca="1">IF(OFFSET(PO!O$12,ROW(D93)-ROW(D$12),0)=0,"",OFFSET(PO!O$12,ROW(D93)-ROW(D$12),0))</f>
        <v>M3</v>
      </c>
      <c r="E93" s="165">
        <f ca="1">IF($A93&lt;&gt;"Serviço",0,ROUND(SUMIF($F$9:$BD$9,"&lt;&gt;",$F93:$BD93),15-13*PO!$X$3))</f>
        <v>8.62</v>
      </c>
      <c r="F93" s="400">
        <f>F92</f>
        <v>8.6187</v>
      </c>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I93" s="215"/>
    </row>
    <row r="94" spans="1:61" s="4" customFormat="1" ht="38.25">
      <c r="A94" s="128" t="str">
        <f ca="1">OFFSET(PO!J$12,ROW(A94)-ROW($A$12),0)</f>
        <v>Serviço</v>
      </c>
      <c r="B94" s="130" t="str">
        <f ca="1">IF($A94=0,"",OFFSET(PO!K$12,ROW(B94)-ROW(B$12),0))</f>
        <v>10.2.3.</v>
      </c>
      <c r="C94" s="127" t="str">
        <f ca="1">IF(OFFSET(PO!N$12,ROW(C94)-ROW(C$12),0)=0,"",OFFSET(PO!N$12,ROW(C94)-ROW(C$12),0))</f>
        <v xml:space="preserve">TELA DE ACO SOLDADA NERVURADA, CA-60, Q-61, (0,97 KG/M2), DIAMETRO DO FIO = 3,4 MM, LARGURA = 2,45 M, ESPACAMENTO DA MALHA = 15 X 15 CM                                                                                                                                                                                                                                                                                                                                                                   </v>
      </c>
      <c r="D94" s="129" t="str">
        <f ca="1">IF(OFFSET(PO!O$12,ROW(D94)-ROW(D$12),0)=0,"",OFFSET(PO!O$12,ROW(D94)-ROW(D$12),0))</f>
        <v xml:space="preserve">M2    </v>
      </c>
      <c r="E94" s="165">
        <f ca="1">IF($A94&lt;&gt;"Serviço",0,ROUND(SUMIF($F$9:$BD$9,"&lt;&gt;",$F94:$BD94),15-13*PO!$X$3))</f>
        <v>287.29</v>
      </c>
      <c r="F94" s="400">
        <f>31.77+14.55+60+14.55+31.77+47.05+47.05+40.55</f>
        <v>287.29</v>
      </c>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I94" s="215"/>
    </row>
    <row r="95" spans="1:61" s="4" customFormat="1" ht="12.75" customHeight="1">
      <c r="A95" s="128" t="str">
        <f ca="1">OFFSET(PO!J$12,ROW(A95)-ROW($A$12),0)</f>
        <v>Serviço</v>
      </c>
      <c r="B95" s="130" t="str">
        <f ca="1">IF($A95=0,"",OFFSET(PO!K$12,ROW(B95)-ROW(B$12),0))</f>
        <v>10.2.4.</v>
      </c>
      <c r="C95" s="127" t="str">
        <f ca="1">IF(OFFSET(PO!N$12,ROW(C95)-ROW(C$12),0)=0,"",OFFSET(PO!N$12,ROW(C95)-ROW(C$12),0))</f>
        <v>REVESTIMENTO CERÂMICO PARA PISO COM PLACAS TIPO ESMALTADA EXTRA DE DIMENSÕES 45X45 CM APLICADA EM AMBIENTES DE ÁREA MAIOR QUE 10 M2. AF_02/2023_PE</v>
      </c>
      <c r="D95" s="129" t="str">
        <f ca="1">IF(OFFSET(PO!O$12,ROW(D95)-ROW(D$12),0)=0,"",OFFSET(PO!O$12,ROW(D95)-ROW(D$12),0))</f>
        <v>M2</v>
      </c>
      <c r="E95" s="165">
        <f ca="1">IF($A95&lt;&gt;"Serviço",0,ROUND(SUMIF($F$9:$BD$9,"&lt;&gt;",$F95:$BD95),15-13*PO!$X$3))</f>
        <v>246.74</v>
      </c>
      <c r="F95" s="400">
        <f>31.77+14.55+60+14.55+31.77+47.05+47.05</f>
        <v>246.74</v>
      </c>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I95" s="215"/>
    </row>
    <row r="96" spans="1:61" s="4" customFormat="1" ht="12.75">
      <c r="A96" s="128" t="str">
        <f ca="1">OFFSET(PO!J$12,ROW(A96)-ROW($A$12),0)</f>
        <v>Meta</v>
      </c>
      <c r="B96" s="130" t="str">
        <f ca="1">IF($A96=0,"",OFFSET(PO!K$12,ROW(B96)-ROW(B$12),0))</f>
        <v>11.</v>
      </c>
      <c r="C96" s="127" t="str">
        <f ca="1">IF(OFFSET(PO!N$12,ROW(C96)-ROW(C$12),0)=0,"",OFFSET(PO!N$12,ROW(C96)-ROW(C$12),0))</f>
        <v>TETO</v>
      </c>
      <c r="D96" s="129" t="str">
        <f ca="1">IF(OFFSET(PO!O$12,ROW(D96)-ROW(D$12),0)=0,"",OFFSET(PO!O$12,ROW(D96)-ROW(D$12),0))</f>
        <v/>
      </c>
      <c r="E96" s="165">
        <f ca="1">IF($A96&lt;&gt;"Serviço",0,ROUND(SUMIF($F$9:$BD$9,"&lt;&gt;",$F96:$BD96),15-13*PO!$X$3))</f>
        <v>0</v>
      </c>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I96" s="215"/>
    </row>
    <row r="97" spans="1:61" s="4" customFormat="1" ht="38.25">
      <c r="A97" s="128" t="str">
        <f ca="1">OFFSET(PO!J$12,ROW(A97)-ROW($A$12),0)</f>
        <v>Serviço</v>
      </c>
      <c r="B97" s="130" t="str">
        <f ca="1">IF($A97=0,"",OFFSET(PO!K$12,ROW(B97)-ROW(B$12),0))</f>
        <v>11.0.1.</v>
      </c>
      <c r="C97" s="127" t="str">
        <f ca="1">IF(OFFSET(PO!N$12,ROW(C97)-ROW(C$12),0)=0,"",OFFSET(PO!N$12,ROW(C97)-ROW(C$12),0))</f>
        <v>FORRO EM RÉGUAS DE PVC, FRISADO, PARA AMBIENTES COMERCIAIS, INCLUSIVE ESTRUTURA DE FIXAÇÃO. AF_05/2017_P</v>
      </c>
      <c r="D97" s="129" t="str">
        <f ca="1">IF(OFFSET(PO!O$12,ROW(D97)-ROW(D$12),0)=0,"",OFFSET(PO!O$12,ROW(D97)-ROW(D$12),0))</f>
        <v>M2</v>
      </c>
      <c r="E97" s="165">
        <f ca="1">IF($A97&lt;&gt;"Serviço",0,ROUND(SUMIF($F$9:$BD$9,"&lt;&gt;",$F97:$BD97),15-13*PO!$X$3))</f>
        <v>186.74</v>
      </c>
      <c r="F97" s="400">
        <f>31.77+14.55+14.55+31.77+47.05+47.05</f>
        <v>186.74</v>
      </c>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I97" s="215"/>
    </row>
    <row r="98" spans="1:61" s="4" customFormat="1" ht="25.5">
      <c r="A98" s="128" t="str">
        <f ca="1">OFFSET(PO!J$12,ROW(A98)-ROW($A$12),0)</f>
        <v>Serviço</v>
      </c>
      <c r="B98" s="130" t="str">
        <f ca="1">IF($A98=0,"",OFFSET(PO!K$12,ROW(B98)-ROW(B$12),0))</f>
        <v>11.0.2.</v>
      </c>
      <c r="C98" s="127" t="str">
        <f ca="1">IF(OFFSET(PO!N$12,ROW(C98)-ROW(C$12),0)=0,"",OFFSET(PO!N$12,ROW(C98)-ROW(C$12),0))</f>
        <v xml:space="preserve">RODAFORRO EM PVC, PARA FORRO DE PVC, COMPRIMENTO 6 M                                                                                                                                                                                                                                                                                                                                                                                                                                                      </v>
      </c>
      <c r="D98" s="129" t="str">
        <f ca="1">IF(OFFSET(PO!O$12,ROW(D98)-ROW(D$12),0)=0,"",OFFSET(PO!O$12,ROW(D98)-ROW(D$12),0))</f>
        <v xml:space="preserve">M     </v>
      </c>
      <c r="E98" s="165">
        <f ca="1">IF($A98&lt;&gt;"Serviço",0,ROUND(SUMIF($F$9:$BD$9,"&lt;&gt;",$F98:$BD98),15-13*PO!$X$3))</f>
        <v>145.8</v>
      </c>
      <c r="F98" s="400">
        <f>(4.85*8)+(6.55*4)+(3*4)+10+(9.7*4)+(5*4)</f>
        <v>145.8</v>
      </c>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I98" s="215"/>
    </row>
    <row r="99" spans="1:61" s="4" customFormat="1" ht="12.75">
      <c r="A99" s="128" t="str">
        <f ca="1">OFFSET(PO!J$12,ROW(A99)-ROW($A$12),0)</f>
        <v>Meta</v>
      </c>
      <c r="B99" s="130" t="str">
        <f ca="1">IF($A99=0,"",OFFSET(PO!K$12,ROW(B99)-ROW(B$12),0))</f>
        <v>12.</v>
      </c>
      <c r="C99" s="127" t="str">
        <f ca="1">IF(OFFSET(PO!N$12,ROW(C99)-ROW(C$12),0)=0,"",OFFSET(PO!N$12,ROW(C99)-ROW(C$12),0))</f>
        <v>COLOCAÇÃO DE DIVISÓRIAS EM GRANITO</v>
      </c>
      <c r="D99" s="129" t="str">
        <f ca="1">IF(OFFSET(PO!O$12,ROW(D99)-ROW(D$12),0)=0,"",OFFSET(PO!O$12,ROW(D99)-ROW(D$12),0))</f>
        <v/>
      </c>
      <c r="E99" s="165">
        <f ca="1">IF($A99&lt;&gt;"Serviço",0,ROUND(SUMIF($F$9:$BD$9,"&lt;&gt;",$F99:$BD99),15-13*PO!$X$3))</f>
        <v>0</v>
      </c>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I99" s="215"/>
    </row>
    <row r="100" spans="1:61" s="4" customFormat="1" ht="38.25">
      <c r="A100" s="128" t="str">
        <f ca="1">OFFSET(PO!J$12,ROW(A100)-ROW($A$12),0)</f>
        <v>Serviço</v>
      </c>
      <c r="B100" s="130" t="str">
        <f ca="1">IF($A100=0,"",OFFSET(PO!K$12,ROW(B100)-ROW(B$12),0))</f>
        <v>12.0.1.</v>
      </c>
      <c r="C100" s="127" t="str">
        <f ca="1">IF(OFFSET(PO!N$12,ROW(C100)-ROW(C$12),0)=0,"",OFFSET(PO!N$12,ROW(C100)-ROW(C$12),0))</f>
        <v>DIVISORIA SANITÁRIA, TIPO CABINE, EM GRANITO CINZA POLIDO, ESP = 3CM, ASSENTADO COM ARGAMASSA COLANTE AC III-E, EXCLUSIVE FERRAGENS. AF_01/2021</v>
      </c>
      <c r="D100" s="129" t="str">
        <f ca="1">IF(OFFSET(PO!O$12,ROW(D100)-ROW(D$12),0)=0,"",OFFSET(PO!O$12,ROW(D100)-ROW(D$12),0))</f>
        <v>M2</v>
      </c>
      <c r="E100" s="165">
        <f ca="1">IF($A100&lt;&gt;"Serviço",0,ROUND(SUMIF($F$9:$BD$9,"&lt;&gt;",$F100:$BD100),15-13*PO!$X$3))</f>
        <v>50.58</v>
      </c>
      <c r="F100" s="400">
        <f>(1.6+1.6+1.6+1.6+1.6+1.4+1.4+1.4+1.4+1.4+1.4+1.4+1.4+8.9)*1.8</f>
        <v>50.580000000000005</v>
      </c>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I100" s="215"/>
    </row>
    <row r="101" spans="1:61" s="4" customFormat="1" ht="38.25">
      <c r="A101" s="128" t="str">
        <f ca="1">OFFSET(PO!J$12,ROW(A101)-ROW($A$12),0)</f>
        <v>Serviço</v>
      </c>
      <c r="B101" s="130" t="str">
        <f ca="1">IF($A101=0,"",OFFSET(PO!K$12,ROW(B101)-ROW(B$12),0))</f>
        <v>12.0.2.</v>
      </c>
      <c r="C101" s="127" t="str">
        <f ca="1">IF(OFFSET(PO!N$12,ROW(C101)-ROW(C$12),0)=0,"",OFFSET(PO!N$12,ROW(C101)-ROW(C$12),0))</f>
        <v>TAPA VISTA DE MICTÓRIO EM GRANITO CINZA POLIDO, ESP = 3CM, ASSENTADO COM ARGAMASSA COLANTE AC III-E . AF_01/2021</v>
      </c>
      <c r="D101" s="129" t="str">
        <f ca="1">IF(OFFSET(PO!O$12,ROW(D101)-ROW(D$12),0)=0,"",OFFSET(PO!O$12,ROW(D101)-ROW(D$12),0))</f>
        <v>M2</v>
      </c>
      <c r="E101" s="165">
        <f ca="1">IF($A101&lt;&gt;"Serviço",0,ROUND(SUMIF($F$9:$BD$9,"&lt;&gt;",$F101:$BD101),15-13*PO!$X$3))</f>
        <v>1.2</v>
      </c>
      <c r="F101" s="400">
        <f>0.5*1.2*2</f>
        <v>1.2</v>
      </c>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I101" s="215"/>
    </row>
    <row r="102" spans="1:61" s="4" customFormat="1" ht="12.75">
      <c r="A102" s="128" t="str">
        <f ca="1">OFFSET(PO!J$12,ROW(A102)-ROW($A$12),0)</f>
        <v>Meta</v>
      </c>
      <c r="B102" s="130" t="str">
        <f ca="1">IF($A102=0,"",OFFSET(PO!K$12,ROW(B102)-ROW(B$12),0))</f>
        <v>13.</v>
      </c>
      <c r="C102" s="127" t="str">
        <f ca="1">IF(OFFSET(PO!N$12,ROW(C102)-ROW(C$12),0)=0,"",OFFSET(PO!N$12,ROW(C102)-ROW(C$12),0))</f>
        <v>INSTALAÇÕES ELÉTRICAS</v>
      </c>
      <c r="D102" s="129" t="str">
        <f ca="1">IF(OFFSET(PO!O$12,ROW(D102)-ROW(D$12),0)=0,"",OFFSET(PO!O$12,ROW(D102)-ROW(D$12),0))</f>
        <v/>
      </c>
      <c r="E102" s="165">
        <f ca="1">IF($A102&lt;&gt;"Serviço",0,ROUND(SUMIF($F$9:$BD$9,"&lt;&gt;",$F102:$BD102),15-13*PO!$X$3))</f>
        <v>0</v>
      </c>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I102" s="215"/>
    </row>
    <row r="103" spans="1:61" s="4" customFormat="1" ht="38.25">
      <c r="A103" s="128" t="str">
        <f ca="1">OFFSET(PO!J$12,ROW(A103)-ROW($A$12),0)</f>
        <v>Serviço</v>
      </c>
      <c r="B103" s="130" t="str">
        <f ca="1">IF($A103=0,"",OFFSET(PO!K$12,ROW(B103)-ROW(B$12),0))</f>
        <v>13.0.1.</v>
      </c>
      <c r="C103" s="127" t="str">
        <f ca="1">IF(OFFSET(PO!N$12,ROW(C103)-ROW(C$12),0)=0,"",OFFSET(PO!N$12,ROW(C103)-ROW(C$12),0))</f>
        <v>ENTRADA DE ENERGIA ELÉTRICA, AÉREA, TRIFÁSICA, COM CAIXA DE EMBUTIR, CABO DE 35 MM2 E DISJUNTOR DIN 50A (NÃO INCLUSO O POSTE DE CONCRETO). AF_07/2020_PS</v>
      </c>
      <c r="D103" s="129" t="str">
        <f ca="1">IF(OFFSET(PO!O$12,ROW(D103)-ROW(D$12),0)=0,"",OFFSET(PO!O$12,ROW(D103)-ROW(D$12),0))</f>
        <v>UN</v>
      </c>
      <c r="E103" s="165">
        <f ca="1">IF($A103&lt;&gt;"Serviço",0,ROUND(SUMIF($F$9:$BD$9,"&lt;&gt;",$F103:$BD103),15-13*PO!$X$3))</f>
        <v>1</v>
      </c>
      <c r="F103" s="400">
        <v>1</v>
      </c>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I103" s="215"/>
    </row>
    <row r="104" spans="1:61" s="4" customFormat="1" ht="25.5">
      <c r="A104" s="128" t="str">
        <f ca="1">OFFSET(PO!J$12,ROW(A104)-ROW($A$12),0)</f>
        <v>Serviço</v>
      </c>
      <c r="B104" s="130" t="str">
        <f ca="1">IF($A104=0,"",OFFSET(PO!K$12,ROW(B104)-ROW(B$12),0))</f>
        <v>13.0.2.</v>
      </c>
      <c r="C104" s="127" t="str">
        <f ca="1">IF(OFFSET(PO!N$12,ROW(C104)-ROW(C$12),0)=0,"",OFFSET(PO!N$12,ROW(C104)-ROW(C$12),0))</f>
        <v xml:space="preserve">POSTE CONICO CONTINUO EM ACO GALVANIZADO, RETO, ENGASTADO,  H = 7 M, DIAMETRO INFERIOR = *125* MM                                                                                                                                                                                                                                                                                                                                                                                                         </v>
      </c>
      <c r="D104" s="129" t="str">
        <f ca="1">IF(OFFSET(PO!O$12,ROW(D104)-ROW(D$12),0)=0,"",OFFSET(PO!O$12,ROW(D104)-ROW(D$12),0))</f>
        <v xml:space="preserve">UN    </v>
      </c>
      <c r="E104" s="165">
        <f ca="1">IF($A104&lt;&gt;"Serviço",0,ROUND(SUMIF($F$9:$BD$9,"&lt;&gt;",$F104:$BD104),15-13*PO!$X$3))</f>
        <v>1</v>
      </c>
      <c r="F104" s="400">
        <v>1</v>
      </c>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I104" s="215"/>
    </row>
    <row r="105" spans="1:61" s="4" customFormat="1" ht="38.25">
      <c r="A105" s="128" t="str">
        <f ca="1">OFFSET(PO!J$12,ROW(A105)-ROW($A$12),0)</f>
        <v>Serviço</v>
      </c>
      <c r="B105" s="130" t="str">
        <f ca="1">IF($A105=0,"",OFFSET(PO!K$12,ROW(B105)-ROW(B$12),0))</f>
        <v>13.0.3.</v>
      </c>
      <c r="C105" s="127" t="str">
        <f ca="1">IF(OFFSET(PO!N$12,ROW(C105)-ROW(C$12),0)=0,"",OFFSET(PO!N$12,ROW(C105)-ROW(C$12),0))</f>
        <v>ELETRODUTO FLEXÍVEL CORRUGADO, PVC, DN 20 MM (1/2"), PARA CIRCUITOS TERMINAIS, INSTALADO EM PAREDE - FORNECIMENTO E INSTALAÇÃO. AF_03/2023</v>
      </c>
      <c r="D105" s="129" t="str">
        <f ca="1">IF(OFFSET(PO!O$12,ROW(D105)-ROW(D$12),0)=0,"",OFFSET(PO!O$12,ROW(D105)-ROW(D$12),0))</f>
        <v>M</v>
      </c>
      <c r="E105" s="165">
        <f ca="1">IF($A105&lt;&gt;"Serviço",0,ROUND(SUMIF($F$9:$BD$9,"&lt;&gt;",$F105:$BD105),15-13*PO!$X$3))</f>
        <v>150</v>
      </c>
      <c r="F105" s="400">
        <v>150</v>
      </c>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I105" s="215"/>
    </row>
    <row r="106" spans="1:61" s="4" customFormat="1" ht="38.25">
      <c r="A106" s="128" t="str">
        <f ca="1">OFFSET(PO!J$12,ROW(A106)-ROW($A$12),0)</f>
        <v>Serviço</v>
      </c>
      <c r="B106" s="130" t="str">
        <f ca="1">IF($A106=0,"",OFFSET(PO!K$12,ROW(B106)-ROW(B$12),0))</f>
        <v>13.0.4.</v>
      </c>
      <c r="C106" s="127" t="str">
        <f ca="1">IF(OFFSET(PO!N$12,ROW(C106)-ROW(C$12),0)=0,"",OFFSET(PO!N$12,ROW(C106)-ROW(C$12),0))</f>
        <v>CABO DE COBRE FLEXÍVEL ISOLADO, 2,5 MM², ANTI-CHAMA 450/750 V, PARA CIRCUITOS TERMINAIS - FORNECIMENTO E INSTALAÇÃO. AF_03/2023</v>
      </c>
      <c r="D106" s="129" t="str">
        <f ca="1">IF(OFFSET(PO!O$12,ROW(D106)-ROW(D$12),0)=0,"",OFFSET(PO!O$12,ROW(D106)-ROW(D$12),0))</f>
        <v>M</v>
      </c>
      <c r="E106" s="165">
        <f ca="1">IF($A106&lt;&gt;"Serviço",0,ROUND(SUMIF($F$9:$BD$9,"&lt;&gt;",$F106:$BD106),15-13*PO!$X$3))</f>
        <v>750</v>
      </c>
      <c r="F106" s="400">
        <v>750</v>
      </c>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I106" s="215"/>
    </row>
    <row r="107" spans="1:61" s="4" customFormat="1" ht="38.25">
      <c r="A107" s="128" t="str">
        <f ca="1">OFFSET(PO!J$12,ROW(A107)-ROW($A$12),0)</f>
        <v>Serviço</v>
      </c>
      <c r="B107" s="130" t="str">
        <f ca="1">IF($A107=0,"",OFFSET(PO!K$12,ROW(B107)-ROW(B$12),0))</f>
        <v>13.0.5.</v>
      </c>
      <c r="C107" s="127" t="str">
        <f ca="1">IF(OFFSET(PO!N$12,ROW(C107)-ROW(C$12),0)=0,"",OFFSET(PO!N$12,ROW(C107)-ROW(C$12),0))</f>
        <v>CABO DE COBRE FLEXÍVEL ISOLADO, 4 MM², ANTI-CHAMA 450/750 V, PARA CIRCUITOS TERMINAIS - FORNECIMENTO E INSTALAÇÃO. AF_03/2023</v>
      </c>
      <c r="D107" s="129" t="str">
        <f ca="1">IF(OFFSET(PO!O$12,ROW(D107)-ROW(D$12),0)=0,"",OFFSET(PO!O$12,ROW(D107)-ROW(D$12),0))</f>
        <v>M</v>
      </c>
      <c r="E107" s="165">
        <f ca="1">IF($A107&lt;&gt;"Serviço",0,ROUND(SUMIF($F$9:$BD$9,"&lt;&gt;",$F107:$BD107),15-13*PO!$X$3))</f>
        <v>95</v>
      </c>
      <c r="F107" s="400">
        <v>95</v>
      </c>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I107" s="215"/>
    </row>
    <row r="108" spans="1:61" s="4" customFormat="1" ht="38.25">
      <c r="A108" s="128" t="str">
        <f ca="1">OFFSET(PO!J$12,ROW(A108)-ROW($A$12),0)</f>
        <v>Serviço</v>
      </c>
      <c r="B108" s="130" t="str">
        <f ca="1">IF($A108=0,"",OFFSET(PO!K$12,ROW(B108)-ROW(B$12),0))</f>
        <v>13.0.6.</v>
      </c>
      <c r="C108" s="127" t="str">
        <f ca="1">IF(OFFSET(PO!N$12,ROW(C108)-ROW(C$12),0)=0,"",OFFSET(PO!N$12,ROW(C108)-ROW(C$12),0))</f>
        <v>CABO DE COBRE FLEXÍVEL ISOLADO, 6 MM², ANTI-CHAMA 450/750 V, PARA CIRCUITOS TERMINAIS - FORNECIMENTO E INSTALAÇÃO. AF_03/2023</v>
      </c>
      <c r="D108" s="129" t="str">
        <f ca="1">IF(OFFSET(PO!O$12,ROW(D108)-ROW(D$12),0)=0,"",OFFSET(PO!O$12,ROW(D108)-ROW(D$12),0))</f>
        <v>M</v>
      </c>
      <c r="E108" s="165">
        <f ca="1">IF($A108&lt;&gt;"Serviço",0,ROUND(SUMIF($F$9:$BD$9,"&lt;&gt;",$F108:$BD108),15-13*PO!$X$3))</f>
        <v>95</v>
      </c>
      <c r="F108" s="400">
        <v>95</v>
      </c>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I108" s="215"/>
    </row>
    <row r="109" spans="1:61" s="4" customFormat="1" ht="38.25">
      <c r="A109" s="128" t="str">
        <f ca="1">OFFSET(PO!J$12,ROW(A109)-ROW($A$12),0)</f>
        <v>Serviço</v>
      </c>
      <c r="B109" s="130" t="str">
        <f ca="1">IF($A109=0,"",OFFSET(PO!K$12,ROW(B109)-ROW(B$12),0))</f>
        <v>13.0.7.</v>
      </c>
      <c r="C109" s="127" t="str">
        <f ca="1">IF(OFFSET(PO!N$12,ROW(C109)-ROW(C$12),0)=0,"",OFFSET(PO!N$12,ROW(C109)-ROW(C$12),0))</f>
        <v>CABO DE COBRE FLEXÍVEL ISOLADO, 10 MM², ANTI-CHAMA 450/750 V, PARA CIRCUITOS TERMINAIS - FORNECIMENTO E INSTALAÇÃO. AF_03/2023</v>
      </c>
      <c r="D109" s="129" t="str">
        <f ca="1">IF(OFFSET(PO!O$12,ROW(D109)-ROW(D$12),0)=0,"",OFFSET(PO!O$12,ROW(D109)-ROW(D$12),0))</f>
        <v>M</v>
      </c>
      <c r="E109" s="165">
        <f ca="1">IF($A109&lt;&gt;"Serviço",0,ROUND(SUMIF($F$9:$BD$9,"&lt;&gt;",$F109:$BD109),15-13*PO!$X$3))</f>
        <v>50</v>
      </c>
      <c r="F109" s="400">
        <v>50</v>
      </c>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I109" s="215"/>
    </row>
    <row r="110" spans="1:61" s="4" customFormat="1" ht="25.5">
      <c r="A110" s="128" t="str">
        <f ca="1">OFFSET(PO!J$12,ROW(A110)-ROW($A$12),0)</f>
        <v>Serviço</v>
      </c>
      <c r="B110" s="130" t="str">
        <f ca="1">IF($A110=0,"",OFFSET(PO!K$12,ROW(B110)-ROW(B$12),0))</f>
        <v>13.0.8.</v>
      </c>
      <c r="C110" s="127" t="str">
        <f ca="1">IF(OFFSET(PO!N$12,ROW(C110)-ROW(C$12),0)=0,"",OFFSET(PO!N$12,ROW(C110)-ROW(C$12),0))</f>
        <v>DISJUNTOR BIPOLAR TIPO DIN, CORRENTE NOMINAL DE 50A - FORNECIMENTO E INSTALAÇÃO. AF_10/2020</v>
      </c>
      <c r="D110" s="129" t="str">
        <f ca="1">IF(OFFSET(PO!O$12,ROW(D110)-ROW(D$12),0)=0,"",OFFSET(PO!O$12,ROW(D110)-ROW(D$12),0))</f>
        <v>UN</v>
      </c>
      <c r="E110" s="165">
        <f ca="1">IF($A110&lt;&gt;"Serviço",0,ROUND(SUMIF($F$9:$BD$9,"&lt;&gt;",$F110:$BD110),15-13*PO!$X$3))</f>
        <v>1</v>
      </c>
      <c r="F110" s="400">
        <v>1</v>
      </c>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I110" s="215"/>
    </row>
    <row r="111" spans="1:61" s="4" customFormat="1" ht="25.5">
      <c r="A111" s="128" t="str">
        <f ca="1">OFFSET(PO!J$12,ROW(A111)-ROW($A$12),0)</f>
        <v>Serviço</v>
      </c>
      <c r="B111" s="130" t="str">
        <f ca="1">IF($A111=0,"",OFFSET(PO!K$12,ROW(B111)-ROW(B$12),0))</f>
        <v>13.0.9.</v>
      </c>
      <c r="C111" s="127" t="str">
        <f ca="1">IF(OFFSET(PO!N$12,ROW(C111)-ROW(C$12),0)=0,"",OFFSET(PO!N$12,ROW(C111)-ROW(C$12),0))</f>
        <v>DISJUNTOR BIPOLAR TIPO DIN, CORRENTE NOMINAL DE 32A - FORNECIMENTO E INSTALAÇÃO. AF_10/2020</v>
      </c>
      <c r="D111" s="129" t="str">
        <f ca="1">IF(OFFSET(PO!O$12,ROW(D111)-ROW(D$12),0)=0,"",OFFSET(PO!O$12,ROW(D111)-ROW(D$12),0))</f>
        <v>UN</v>
      </c>
      <c r="E111" s="165">
        <f ca="1">IF($A111&lt;&gt;"Serviço",0,ROUND(SUMIF($F$9:$BD$9,"&lt;&gt;",$F111:$BD111),15-13*PO!$X$3))</f>
        <v>4</v>
      </c>
      <c r="F111" s="400">
        <v>4</v>
      </c>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I111" s="215"/>
    </row>
    <row r="112" spans="1:61" s="4" customFormat="1" ht="25.5">
      <c r="A112" s="128" t="str">
        <f ca="1">OFFSET(PO!J$12,ROW(A112)-ROW($A$12),0)</f>
        <v>Serviço</v>
      </c>
      <c r="B112" s="130" t="str">
        <f ca="1">IF($A112=0,"",OFFSET(PO!K$12,ROW(B112)-ROW(B$12),0))</f>
        <v>13.0.10.</v>
      </c>
      <c r="C112" s="127" t="str">
        <f ca="1">IF(OFFSET(PO!N$12,ROW(C112)-ROW(C$12),0)=0,"",OFFSET(PO!N$12,ROW(C112)-ROW(C$12),0))</f>
        <v>DISJUNTOR BIPOLAR TIPO DIN, CORRENTE NOMINAL DE 20A - FORNECIMENTO E INSTALAÇÃO. AF_10/2020</v>
      </c>
      <c r="D112" s="129" t="str">
        <f ca="1">IF(OFFSET(PO!O$12,ROW(D112)-ROW(D$12),0)=0,"",OFFSET(PO!O$12,ROW(D112)-ROW(D$12),0))</f>
        <v>UN</v>
      </c>
      <c r="E112" s="165">
        <f ca="1">IF($A112&lt;&gt;"Serviço",0,ROUND(SUMIF($F$9:$BD$9,"&lt;&gt;",$F112:$BD112),15-13*PO!$X$3))</f>
        <v>4</v>
      </c>
      <c r="F112" s="400">
        <v>4</v>
      </c>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I112" s="215"/>
    </row>
    <row r="113" spans="1:61" s="4" customFormat="1" ht="25.5">
      <c r="A113" s="128" t="str">
        <f ca="1">OFFSET(PO!J$12,ROW(A113)-ROW($A$12),0)</f>
        <v>Serviço</v>
      </c>
      <c r="B113" s="130" t="str">
        <f ca="1">IF($A113=0,"",OFFSET(PO!K$12,ROW(B113)-ROW(B$12),0))</f>
        <v>13.0.11.</v>
      </c>
      <c r="C113" s="127" t="str">
        <f ca="1">IF(OFFSET(PO!N$12,ROW(C113)-ROW(C$12),0)=0,"",OFFSET(PO!N$12,ROW(C113)-ROW(C$12),0))</f>
        <v>DISJUNTOR BIPOLAR TIPO DIN, CORRENTE NOMINAL DE 16A - FORNECIMENTO E INSTALAÇÃO. AF_10/2020</v>
      </c>
      <c r="D113" s="129" t="str">
        <f ca="1">IF(OFFSET(PO!O$12,ROW(D113)-ROW(D$12),0)=0,"",OFFSET(PO!O$12,ROW(D113)-ROW(D$12),0))</f>
        <v>UN</v>
      </c>
      <c r="E113" s="165">
        <f ca="1">IF($A113&lt;&gt;"Serviço",0,ROUND(SUMIF($F$9:$BD$9,"&lt;&gt;",$F113:$BD113),15-13*PO!$X$3))</f>
        <v>4</v>
      </c>
      <c r="F113" s="400">
        <v>4</v>
      </c>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I113" s="215"/>
    </row>
    <row r="114" spans="1:61" s="4" customFormat="1" ht="38.25">
      <c r="A114" s="128" t="str">
        <f ca="1">OFFSET(PO!J$12,ROW(A114)-ROW($A$12),0)</f>
        <v>Serviço</v>
      </c>
      <c r="B114" s="130" t="str">
        <f ca="1">IF($A114=0,"",OFFSET(PO!K$12,ROW(B114)-ROW(B$12),0))</f>
        <v>13.0.12.</v>
      </c>
      <c r="C114" s="127" t="str">
        <f ca="1">IF(OFFSET(PO!N$12,ROW(C114)-ROW(C$12),0)=0,"",OFFSET(PO!N$12,ROW(C114)-ROW(C$12),0))</f>
        <v>INTERRUPTOR SIMPLES (1 MÓDULO), 10A/250V, INCLUINDO SUPORTE E PLACA - FORNECIMENTO E INSTALAÇÃO. AF_03/2023</v>
      </c>
      <c r="D114" s="129" t="str">
        <f ca="1">IF(OFFSET(PO!O$12,ROW(D114)-ROW(D$12),0)=0,"",OFFSET(PO!O$12,ROW(D114)-ROW(D$12),0))</f>
        <v>UN</v>
      </c>
      <c r="E114" s="165">
        <f ca="1">IF($A114&lt;&gt;"Serviço",0,ROUND(SUMIF($F$9:$BD$9,"&lt;&gt;",$F114:$BD114),15-13*PO!$X$3))</f>
        <v>3</v>
      </c>
      <c r="F114" s="400">
        <v>3</v>
      </c>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I114" s="215"/>
    </row>
    <row r="115" spans="1:61" s="4" customFormat="1" ht="38.25">
      <c r="A115" s="128" t="str">
        <f ca="1">OFFSET(PO!J$12,ROW(A115)-ROW($A$12),0)</f>
        <v>Serviço</v>
      </c>
      <c r="B115" s="130" t="str">
        <f ca="1">IF($A115=0,"",OFFSET(PO!K$12,ROW(B115)-ROW(B$12),0))</f>
        <v>13.0.13.</v>
      </c>
      <c r="C115" s="127" t="str">
        <f ca="1">IF(OFFSET(PO!N$12,ROW(C115)-ROW(C$12),0)=0,"",OFFSET(PO!N$12,ROW(C115)-ROW(C$12),0))</f>
        <v>INTERRUPTOR SIMPLES (2 MÓDULOS), 10A/250V, INCLUINDO SUPORTE E PLACA - FORNECIMENTO E INSTALAÇÃO. AF_03/2023</v>
      </c>
      <c r="D115" s="129" t="str">
        <f ca="1">IF(OFFSET(PO!O$12,ROW(D115)-ROW(D$12),0)=0,"",OFFSET(PO!O$12,ROW(D115)-ROW(D$12),0))</f>
        <v>UN</v>
      </c>
      <c r="E115" s="165">
        <f ca="1">IF($A115&lt;&gt;"Serviço",0,ROUND(SUMIF($F$9:$BD$9,"&lt;&gt;",$F115:$BD115),15-13*PO!$X$3))</f>
        <v>4</v>
      </c>
      <c r="F115" s="400">
        <v>4</v>
      </c>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I115" s="215"/>
    </row>
    <row r="116" spans="1:61" s="4" customFormat="1" ht="38.25">
      <c r="A116" s="128" t="str">
        <f ca="1">OFFSET(PO!J$12,ROW(A116)-ROW($A$12),0)</f>
        <v>Serviço</v>
      </c>
      <c r="B116" s="130" t="str">
        <f ca="1">IF($A116=0,"",OFFSET(PO!K$12,ROW(B116)-ROW(B$12),0))</f>
        <v>13.0.14.</v>
      </c>
      <c r="C116" s="127" t="str">
        <f ca="1">IF(OFFSET(PO!N$12,ROW(C116)-ROW(C$12),0)=0,"",OFFSET(PO!N$12,ROW(C116)-ROW(C$12),0))</f>
        <v>INTERRUPTOR SIMPLES (4 MÓDULOS), 10A/250V, INCLUINDO SUPORTE E PLACA - FORNECIMENTO E INSTALAÇÃO. AF_03/2023</v>
      </c>
      <c r="D116" s="129" t="str">
        <f ca="1">IF(OFFSET(PO!O$12,ROW(D116)-ROW(D$12),0)=0,"",OFFSET(PO!O$12,ROW(D116)-ROW(D$12),0))</f>
        <v>UN</v>
      </c>
      <c r="E116" s="165">
        <f ca="1">IF($A116&lt;&gt;"Serviço",0,ROUND(SUMIF($F$9:$BD$9,"&lt;&gt;",$F116:$BD116),15-13*PO!$X$3))</f>
        <v>1</v>
      </c>
      <c r="F116" s="400">
        <v>1</v>
      </c>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I116" s="215"/>
    </row>
    <row r="117" spans="1:61" s="4" customFormat="1" ht="38.25">
      <c r="A117" s="128" t="str">
        <f ca="1">OFFSET(PO!J$12,ROW(A117)-ROW($A$12),0)</f>
        <v>Serviço</v>
      </c>
      <c r="B117" s="130" t="str">
        <f ca="1">IF($A117=0,"",OFFSET(PO!K$12,ROW(B117)-ROW(B$12),0))</f>
        <v>13.0.15.</v>
      </c>
      <c r="C117" s="127" t="str">
        <f ca="1">IF(OFFSET(PO!N$12,ROW(C117)-ROW(C$12),0)=0,"",OFFSET(PO!N$12,ROW(C117)-ROW(C$12),0))</f>
        <v>TOMADA ALTA DE EMBUTIR (1 MÓDULO), 2P+T 10 A, INCLUINDO SUPORTE E PLACA - FORNECIMENTO E INSTALAÇÃO. AF_03/2023</v>
      </c>
      <c r="D117" s="129" t="str">
        <f ca="1">IF(OFFSET(PO!O$12,ROW(D117)-ROW(D$12),0)=0,"",OFFSET(PO!O$12,ROW(D117)-ROW(D$12),0))</f>
        <v>UN</v>
      </c>
      <c r="E117" s="165">
        <f ca="1">IF($A117&lt;&gt;"Serviço",0,ROUND(SUMIF($F$9:$BD$9,"&lt;&gt;",$F117:$BD117),15-13*PO!$X$3))</f>
        <v>4</v>
      </c>
      <c r="F117" s="400">
        <v>4</v>
      </c>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I117" s="215"/>
    </row>
    <row r="118" spans="1:61" s="4" customFormat="1" ht="38.25">
      <c r="A118" s="128" t="str">
        <f ca="1">OFFSET(PO!J$12,ROW(A118)-ROW($A$12),0)</f>
        <v>Serviço</v>
      </c>
      <c r="B118" s="130" t="str">
        <f ca="1">IF($A118=0,"",OFFSET(PO!K$12,ROW(B118)-ROW(B$12),0))</f>
        <v>13.0.16.</v>
      </c>
      <c r="C118" s="127" t="str">
        <f ca="1">IF(OFFSET(PO!N$12,ROW(C118)-ROW(C$12),0)=0,"",OFFSET(PO!N$12,ROW(C118)-ROW(C$12),0))</f>
        <v>TOMADA MÉDIA DE EMBUTIR (1 MÓDULO), 2P+T 10 A, INCLUINDO SUPORTE E PLACA - FORNECIMENTO E INSTALAÇÃO. AF_03/2023</v>
      </c>
      <c r="D118" s="129" t="str">
        <f ca="1">IF(OFFSET(PO!O$12,ROW(D118)-ROW(D$12),0)=0,"",OFFSET(PO!O$12,ROW(D118)-ROW(D$12),0))</f>
        <v>UN</v>
      </c>
      <c r="E118" s="165">
        <f ca="1">IF($A118&lt;&gt;"Serviço",0,ROUND(SUMIF($F$9:$BD$9,"&lt;&gt;",$F118:$BD118),15-13*PO!$X$3))</f>
        <v>10</v>
      </c>
      <c r="F118" s="400">
        <v>10</v>
      </c>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I118" s="215"/>
    </row>
    <row r="119" spans="1:61" s="4" customFormat="1" ht="38.25">
      <c r="A119" s="128" t="str">
        <f ca="1">OFFSET(PO!J$12,ROW(A119)-ROW($A$12),0)</f>
        <v>Serviço</v>
      </c>
      <c r="B119" s="130" t="str">
        <f ca="1">IF($A119=0,"",OFFSET(PO!K$12,ROW(B119)-ROW(B$12),0))</f>
        <v>13.0.17.</v>
      </c>
      <c r="C119" s="127" t="str">
        <f ca="1">IF(OFFSET(PO!N$12,ROW(C119)-ROW(C$12),0)=0,"",OFFSET(PO!N$12,ROW(C119)-ROW(C$12),0))</f>
        <v>TOMADA BAIXA DE EMBUTIR (1 MÓDULO), 2P+T 10 A, INCLUINDO SUPORTE E PLACA - FORNECIMENTO E INSTALAÇÃO. AF_03/2023</v>
      </c>
      <c r="D119" s="129" t="str">
        <f ca="1">IF(OFFSET(PO!O$12,ROW(D119)-ROW(D$12),0)=0,"",OFFSET(PO!O$12,ROW(D119)-ROW(D$12),0))</f>
        <v>UN</v>
      </c>
      <c r="E119" s="165">
        <f ca="1">IF($A119&lt;&gt;"Serviço",0,ROUND(SUMIF($F$9:$BD$9,"&lt;&gt;",$F119:$BD119),15-13*PO!$X$3))</f>
        <v>4</v>
      </c>
      <c r="F119" s="400">
        <v>4</v>
      </c>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I119" s="215"/>
    </row>
    <row r="120" spans="1:61" s="4" customFormat="1" ht="12.75">
      <c r="A120" s="128" t="str">
        <f ca="1">OFFSET(PO!J$12,ROW(A120)-ROW($A$12),0)</f>
        <v>Serviço</v>
      </c>
      <c r="B120" s="130" t="str">
        <f ca="1">IF($A120=0,"",OFFSET(PO!K$12,ROW(B120)-ROW(B$12),0))</f>
        <v>13.0.18.</v>
      </c>
      <c r="C120" s="127" t="str">
        <f ca="1">IF(OFFSET(PO!N$12,ROW(C120)-ROW(C$12),0)=0,"",OFFSET(PO!N$12,ROW(C120)-ROW(C$12),0))</f>
        <v>LUMINÁRIA TIPO PLAFON COM LED 100W</v>
      </c>
      <c r="D120" s="129" t="str">
        <f ca="1">IF(OFFSET(PO!O$12,ROW(D120)-ROW(D$12),0)=0,"",OFFSET(PO!O$12,ROW(D120)-ROW(D$12),0))</f>
        <v>UN</v>
      </c>
      <c r="E120" s="165">
        <f ca="1">IF($A120&lt;&gt;"Serviço",0,ROUND(SUMIF($F$9:$BD$9,"&lt;&gt;",$F120:$BD120),15-13*PO!$X$3))</f>
        <v>28</v>
      </c>
      <c r="F120" s="400">
        <v>28</v>
      </c>
      <c r="G120" s="400"/>
      <c r="H120" s="400">
        <v>1</v>
      </c>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I120" s="215"/>
    </row>
    <row r="121" spans="1:61" s="4" customFormat="1" ht="12.75">
      <c r="A121" s="128" t="str">
        <f ca="1">OFFSET(PO!J$12,ROW(A121)-ROW($A$12),0)</f>
        <v>Serviço</v>
      </c>
      <c r="B121" s="130" t="str">
        <f ca="1">IF($A121=0,"",OFFSET(PO!K$12,ROW(B121)-ROW(B$12),0))</f>
        <v>13.0.19.</v>
      </c>
      <c r="C121" s="127" t="str">
        <f ca="1">IF(OFFSET(PO!N$12,ROW(C121)-ROW(C$12),0)=0,"",OFFSET(PO!N$12,ROW(C121)-ROW(C$12),0))</f>
        <v>LUMINÁRIA TIPO REFLETOR COM LED 200 W</v>
      </c>
      <c r="D121" s="129" t="str">
        <f ca="1">IF(OFFSET(PO!O$12,ROW(D121)-ROW(D$12),0)=0,"",OFFSET(PO!O$12,ROW(D121)-ROW(D$12),0))</f>
        <v xml:space="preserve">UN    </v>
      </c>
      <c r="E121" s="165">
        <f ca="1">IF($A121&lt;&gt;"Serviço",0,ROUND(SUMIF($F$9:$BD$9,"&lt;&gt;",$F121:$BD121),15-13*PO!$X$3))</f>
        <v>35</v>
      </c>
      <c r="F121" s="400">
        <v>35</v>
      </c>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I121" s="215"/>
    </row>
    <row r="122" spans="1:61" s="4" customFormat="1" ht="38.25">
      <c r="A122" s="128" t="str">
        <f ca="1">OFFSET(PO!J$12,ROW(A122)-ROW($A$12),0)</f>
        <v>Serviço</v>
      </c>
      <c r="B122" s="130" t="str">
        <f ca="1">IF($A122=0,"",OFFSET(PO!K$12,ROW(B122)-ROW(B$12),0))</f>
        <v>13.0.20.</v>
      </c>
      <c r="C122" s="127" t="str">
        <f ca="1">IF(OFFSET(PO!N$12,ROW(C122)-ROW(C$12),0)=0,"",OFFSET(PO!N$12,ROW(C122)-ROW(C$12),0))</f>
        <v>ELETRODUTO RÍGIDO ROSCÁVEL, PVC, DN 20 MM (1/2"), PARA CIRCUITOS TERMINAIS, INSTALADO EM PAREDE - FORNECIMENTO E INSTALAÇÃO. AF_03/2023</v>
      </c>
      <c r="D122" s="129" t="str">
        <f ca="1">IF(OFFSET(PO!O$12,ROW(D122)-ROW(D$12),0)=0,"",OFFSET(PO!O$12,ROW(D122)-ROW(D$12),0))</f>
        <v>M</v>
      </c>
      <c r="E122" s="165">
        <f ca="1">IF($A122&lt;&gt;"Serviço",0,ROUND(SUMIF($F$9:$BD$9,"&lt;&gt;",$F122:$BD122),15-13*PO!$X$3))</f>
        <v>350</v>
      </c>
      <c r="F122" s="400">
        <v>350</v>
      </c>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I122" s="215"/>
    </row>
    <row r="123" spans="1:61" s="4" customFormat="1" ht="38.25">
      <c r="A123" s="128" t="str">
        <f ca="1">OFFSET(PO!J$12,ROW(A123)-ROW($A$12),0)</f>
        <v>Serviço</v>
      </c>
      <c r="B123" s="130" t="str">
        <f ca="1">IF($A123=0,"",OFFSET(PO!K$12,ROW(B123)-ROW(B$12),0))</f>
        <v>13.0.21.</v>
      </c>
      <c r="C123" s="127" t="str">
        <f ca="1">IF(OFFSET(PO!N$12,ROW(C123)-ROW(C$12),0)=0,"",OFFSET(PO!N$12,ROW(C123)-ROW(C$12),0))</f>
        <v>CURVA 90 GRAUS PARA ELETRODUTO, PVC, ROSCÁVEL, DN 20 MM (1/2"), PARA CIRCUITOS TERMINAIS, INSTALADA EM LAJE - FORNECIMENTO E INSTALAÇÃO. AF_03/2023</v>
      </c>
      <c r="D123" s="129" t="str">
        <f ca="1">IF(OFFSET(PO!O$12,ROW(D123)-ROW(D$12),0)=0,"",OFFSET(PO!O$12,ROW(D123)-ROW(D$12),0))</f>
        <v>UN</v>
      </c>
      <c r="E123" s="165">
        <f ca="1">IF($A123&lt;&gt;"Serviço",0,ROUND(SUMIF($F$9:$BD$9,"&lt;&gt;",$F123:$BD123),15-13*PO!$X$3))</f>
        <v>28</v>
      </c>
      <c r="F123" s="400">
        <v>28</v>
      </c>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I123" s="215"/>
    </row>
    <row r="124" spans="1:61" s="4" customFormat="1" ht="38.25">
      <c r="A124" s="128" t="str">
        <f ca="1">OFFSET(PO!J$12,ROW(A124)-ROW($A$12),0)</f>
        <v>Serviço</v>
      </c>
      <c r="B124" s="130" t="str">
        <f ca="1">IF($A124=0,"",OFFSET(PO!K$12,ROW(B124)-ROW(B$12),0))</f>
        <v>13.0.22.</v>
      </c>
      <c r="C124" s="127" t="str">
        <f ca="1">IF(OFFSET(PO!N$12,ROW(C124)-ROW(C$12),0)=0,"",OFFSET(PO!N$12,ROW(C124)-ROW(C$12),0))</f>
        <v>CONDULETE DE PVC, TIPO TB, PARA ELETRODUTO DE PVC SOLDÁVEL DN 20 MM (1/2''), APARENTE - FORNECIMENTO E INSTALAÇÃO. AF_10/2022</v>
      </c>
      <c r="D124" s="129" t="str">
        <f ca="1">IF(OFFSET(PO!O$12,ROW(D124)-ROW(D$12),0)=0,"",OFFSET(PO!O$12,ROW(D124)-ROW(D$12),0))</f>
        <v>UN</v>
      </c>
      <c r="E124" s="165">
        <f ca="1">IF($A124&lt;&gt;"Serviço",0,ROUND(SUMIF($F$9:$BD$9,"&lt;&gt;",$F124:$BD124),15-13*PO!$X$3))</f>
        <v>4</v>
      </c>
      <c r="F124" s="400">
        <v>4</v>
      </c>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I124" s="215"/>
    </row>
    <row r="125" spans="1:61" s="4" customFormat="1" ht="38.25">
      <c r="A125" s="128" t="str">
        <f ca="1">OFFSET(PO!J$12,ROW(A125)-ROW($A$12),0)</f>
        <v>Serviço</v>
      </c>
      <c r="B125" s="130" t="str">
        <f ca="1">IF($A125=0,"",OFFSET(PO!K$12,ROW(B125)-ROW(B$12),0))</f>
        <v>13.0.23.</v>
      </c>
      <c r="C125" s="127" t="str">
        <f ca="1">IF(OFFSET(PO!N$12,ROW(C125)-ROW(C$12),0)=0,"",OFFSET(PO!N$12,ROW(C125)-ROW(C$12),0))</f>
        <v>CONDULETE DE PVC, TIPO X, PARA ELETRODUTO DE PVC SOLDÁVEL DN 20 MM (1/2''), APARENTE - FORNECIMENTO E INSTALAÇÃO. AF_10/2022</v>
      </c>
      <c r="D125" s="129" t="str">
        <f ca="1">IF(OFFSET(PO!O$12,ROW(D125)-ROW(D$12),0)=0,"",OFFSET(PO!O$12,ROW(D125)-ROW(D$12),0))</f>
        <v>UN</v>
      </c>
      <c r="E125" s="165">
        <f ca="1">IF($A125&lt;&gt;"Serviço",0,ROUND(SUMIF($F$9:$BD$9,"&lt;&gt;",$F125:$BD125),15-13*PO!$X$3))</f>
        <v>4</v>
      </c>
      <c r="F125" s="400">
        <v>4</v>
      </c>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I125" s="215"/>
    </row>
    <row r="126" spans="1:61" s="4" customFormat="1" ht="51">
      <c r="A126" s="128" t="str">
        <f ca="1">OFFSET(PO!J$12,ROW(A126)-ROW($A$12),0)</f>
        <v>Serviço</v>
      </c>
      <c r="B126" s="130" t="str">
        <f ca="1">IF($A126=0,"",OFFSET(PO!K$12,ROW(B126)-ROW(B$12),0))</f>
        <v>13.0.24.</v>
      </c>
      <c r="C126" s="127" t="str">
        <f ca="1">IF(OFFSET(PO!N$12,ROW(C126)-ROW(C$12),0)=0,"",OFFSET(PO!N$12,ROW(C126)-ROW(C$12),0))</f>
        <v>QUADRO DE DISTRIBUIÇÃO DE ENERGIA EM CHAPA DE AÇO GALVANIZADO, DE EMBUTIR, COM BARRAMENTO TRIFÁSICO, PARA 12 DISJUNTORES DIN 100A - FORNECIMENTO E INSTALAÇÃO. AF_10/2020</v>
      </c>
      <c r="D126" s="129" t="str">
        <f ca="1">IF(OFFSET(PO!O$12,ROW(D126)-ROW(D$12),0)=0,"",OFFSET(PO!O$12,ROW(D126)-ROW(D$12),0))</f>
        <v>UN</v>
      </c>
      <c r="E126" s="165">
        <f ca="1">IF($A126&lt;&gt;"Serviço",0,ROUND(SUMIF($F$9:$BD$9,"&lt;&gt;",$F126:$BD126),15-13*PO!$X$3))</f>
        <v>1</v>
      </c>
      <c r="F126" s="400">
        <v>1</v>
      </c>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0"/>
      <c r="AY126" s="400"/>
      <c r="AZ126" s="400"/>
      <c r="BA126" s="400"/>
      <c r="BB126" s="400"/>
      <c r="BC126" s="400"/>
      <c r="BI126" s="215"/>
    </row>
    <row r="127" spans="1:61" s="4" customFormat="1" ht="12.75">
      <c r="A127" s="128" t="str">
        <f ca="1">OFFSET(PO!J$12,ROW(A127)-ROW($A$12),0)</f>
        <v>Meta</v>
      </c>
      <c r="B127" s="130" t="str">
        <f ca="1">IF($A127=0,"",OFFSET(PO!K$12,ROW(B127)-ROW(B$12),0))</f>
        <v>14.</v>
      </c>
      <c r="C127" s="127" t="str">
        <f ca="1">IF(OFFSET(PO!N$12,ROW(C127)-ROW(C$12),0)=0,"",OFFSET(PO!N$12,ROW(C127)-ROW(C$12),0))</f>
        <v>PINTURA</v>
      </c>
      <c r="D127" s="129" t="str">
        <f ca="1">IF(OFFSET(PO!O$12,ROW(D127)-ROW(D$12),0)=0,"",OFFSET(PO!O$12,ROW(D127)-ROW(D$12),0))</f>
        <v/>
      </c>
      <c r="E127" s="165">
        <f ca="1">IF($A127&lt;&gt;"Serviço",0,ROUND(SUMIF($F$9:$BD$9,"&lt;&gt;",$F127:$BD127),15-13*PO!$X$3))</f>
        <v>0</v>
      </c>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I127" s="215"/>
    </row>
    <row r="128" spans="1:61" s="4" customFormat="1" ht="12.75">
      <c r="A128" s="128" t="str">
        <f ca="1">OFFSET(PO!J$12,ROW(A128)-ROW($A$12),0)</f>
        <v>Nível 2</v>
      </c>
      <c r="B128" s="130" t="str">
        <f ca="1">IF($A128=0,"",OFFSET(PO!K$12,ROW(B128)-ROW(B$12),0))</f>
        <v>14.1.</v>
      </c>
      <c r="C128" s="127" t="str">
        <f ca="1">IF(OFFSET(PO!N$12,ROW(C128)-ROW(C$12),0)=0,"",OFFSET(PO!N$12,ROW(C128)-ROW(C$12),0))</f>
        <v>PINTURA EM MADEIRAS RÚSTICAS</v>
      </c>
      <c r="D128" s="129" t="str">
        <f ca="1">IF(OFFSET(PO!O$12,ROW(D128)-ROW(D$12),0)=0,"",OFFSET(PO!O$12,ROW(D128)-ROW(D$12),0))</f>
        <v/>
      </c>
      <c r="E128" s="165">
        <f ca="1">IF($A128&lt;&gt;"Serviço",0,ROUND(SUMIF($F$9:$BD$9,"&lt;&gt;",$F128:$BD128),15-13*PO!$X$3))</f>
        <v>0</v>
      </c>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400"/>
      <c r="BA128" s="400"/>
      <c r="BB128" s="400"/>
      <c r="BC128" s="400"/>
      <c r="BI128" s="215"/>
    </row>
    <row r="129" spans="1:61" s="4" customFormat="1" ht="25.5">
      <c r="A129" s="128" t="str">
        <f ca="1">OFFSET(PO!J$12,ROW(A129)-ROW($A$12),0)</f>
        <v>Serviço</v>
      </c>
      <c r="B129" s="130" t="str">
        <f ca="1">IF($A129=0,"",OFFSET(PO!K$12,ROW(B129)-ROW(B$12),0))</f>
        <v>14.1.1.</v>
      </c>
      <c r="C129" s="127" t="str">
        <f ca="1">IF(OFFSET(PO!N$12,ROW(C129)-ROW(C$12),0)=0,"",OFFSET(PO!N$12,ROW(C129)-ROW(C$12),0))</f>
        <v>PINTURA VERNIZ (INCOLOR) POLIURETÂNICO (RESINA ALQUÍDICA MODIFICADA) EM MADEIRA, 2 DEMÃOS. AF_01/2021</v>
      </c>
      <c r="D129" s="129" t="str">
        <f ca="1">IF(OFFSET(PO!O$12,ROW(D129)-ROW(D$12),0)=0,"",OFFSET(PO!O$12,ROW(D129)-ROW(D$12),0))</f>
        <v>M2</v>
      </c>
      <c r="E129" s="165">
        <f ca="1">IF($A129&lt;&gt;"Serviço",0,ROUND(SUMIF($F$9:$BD$9,"&lt;&gt;",$F129:$BD129),15-13*PO!$X$3))</f>
        <v>300</v>
      </c>
      <c r="F129" s="400">
        <f>(40+30+30)*3</f>
        <v>300</v>
      </c>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400"/>
      <c r="BA129" s="400"/>
      <c r="BB129" s="400"/>
      <c r="BC129" s="400"/>
      <c r="BI129" s="215"/>
    </row>
    <row r="130" spans="1:61" s="4" customFormat="1" ht="12.75">
      <c r="A130" s="128" t="str">
        <f ca="1">OFFSET(PO!J$12,ROW(A130)-ROW($A$12),0)</f>
        <v>Meta</v>
      </c>
      <c r="B130" s="130" t="str">
        <f ca="1">IF($A130=0,"",OFFSET(PO!K$12,ROW(B130)-ROW(B$12),0))</f>
        <v>15.</v>
      </c>
      <c r="C130" s="127" t="str">
        <f ca="1">IF(OFFSET(PO!N$12,ROW(C130)-ROW(C$12),0)=0,"",OFFSET(PO!N$12,ROW(C130)-ROW(C$12),0))</f>
        <v>COLOCAÇÃO DE ESQUADRIAS</v>
      </c>
      <c r="D130" s="129" t="str">
        <f ca="1">IF(OFFSET(PO!O$12,ROW(D130)-ROW(D$12),0)=0,"",OFFSET(PO!O$12,ROW(D130)-ROW(D$12),0))</f>
        <v/>
      </c>
      <c r="E130" s="165">
        <f ca="1">IF($A130&lt;&gt;"Serviço",0,ROUND(SUMIF($F$9:$BD$9,"&lt;&gt;",$F130:$BD130),15-13*PO!$X$3))</f>
        <v>0</v>
      </c>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0"/>
      <c r="BC130" s="400"/>
      <c r="BI130" s="215"/>
    </row>
    <row r="131" spans="1:61" s="4" customFormat="1" ht="38.25">
      <c r="A131" s="128" t="str">
        <f ca="1">OFFSET(PO!J$12,ROW(A131)-ROW($A$12),0)</f>
        <v>Serviço</v>
      </c>
      <c r="B131" s="130" t="str">
        <f ca="1">IF($A131=0,"",OFFSET(PO!K$12,ROW(B131)-ROW(B$12),0))</f>
        <v>15.0.1.</v>
      </c>
      <c r="C131" s="127" t="str">
        <f ca="1">IF(OFFSET(PO!N$12,ROW(C131)-ROW(C$12),0)=0,"",OFFSET(PO!N$12,ROW(C131)-ROW(C$12),0))</f>
        <v xml:space="preserve">PORTA DE ABRIR EM ALUMINIO COM LAMBRI HORIZONTAL/LAMINADA, ACABAMENTO ANODIZADO NATURAL, SEM GUARNICAO/ALIZAR/VISTA                                                                                                                                                                                                                                                                                                                                                                                       </v>
      </c>
      <c r="D131" s="129" t="str">
        <f ca="1">IF(OFFSET(PO!O$12,ROW(D131)-ROW(D$12),0)=0,"",OFFSET(PO!O$12,ROW(D131)-ROW(D$12),0))</f>
        <v xml:space="preserve">M2    </v>
      </c>
      <c r="E131" s="165">
        <f ca="1">IF($A131&lt;&gt;"Serviço",0,ROUND(SUMIF($F$9:$BD$9,"&lt;&gt;",$F131:$BD131),15-13*PO!$X$3))</f>
        <v>25.2</v>
      </c>
      <c r="F131" s="400">
        <f>(6*0.8*2.1)+(11*0.6*1.8)+(2*0.9*1.8)</f>
        <v>25.200000000000003</v>
      </c>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0"/>
      <c r="AY131" s="400"/>
      <c r="AZ131" s="400"/>
      <c r="BA131" s="400"/>
      <c r="BB131" s="400"/>
      <c r="BC131" s="400"/>
      <c r="BI131" s="215"/>
    </row>
    <row r="132" spans="1:61" s="4" customFormat="1" ht="51">
      <c r="A132" s="128" t="str">
        <f ca="1">OFFSET(PO!J$12,ROW(A132)-ROW($A$12),0)</f>
        <v>Serviço</v>
      </c>
      <c r="B132" s="130" t="str">
        <f ca="1">IF($A132=0,"",OFFSET(PO!K$12,ROW(B132)-ROW(B$12),0))</f>
        <v>15.0.2.</v>
      </c>
      <c r="C132" s="127" t="str">
        <f ca="1">IF(OFFSET(PO!N$12,ROW(C132)-ROW(C$12),0)=0,"",OFFSET(PO!N$12,ROW(C132)-ROW(C$12),0))</f>
        <v>JANELA DE ALUMÍNIO DE CORRER COM 4 FOLHAS PARA VIDROS, COM VIDROS, BATENTE, ACABAMENTO COM ACETATO OU BRILHANTE E FERRAGENS. EXCLUSIVE ALIZAR E CONTRAMARCO. FORNECIMENTO E INSTALAÇÃO. AF_12/2019</v>
      </c>
      <c r="D132" s="129" t="str">
        <f ca="1">IF(OFFSET(PO!O$12,ROW(D132)-ROW(D$12),0)=0,"",OFFSET(PO!O$12,ROW(D132)-ROW(D$12),0))</f>
        <v>M2</v>
      </c>
      <c r="E132" s="165">
        <f ca="1">IF($A132&lt;&gt;"Serviço",0,ROUND(SUMIF($F$9:$BD$9,"&lt;&gt;",$F132:$BD132),15-13*PO!$X$3))</f>
        <v>18.72</v>
      </c>
      <c r="F132" s="400">
        <f>(1.8*1.2*6)+(1.8*0.8*4)</f>
        <v>18.720000000000002</v>
      </c>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I132" s="215"/>
    </row>
    <row r="133" spans="1:61" s="4" customFormat="1" ht="25.5">
      <c r="A133" s="128" t="str">
        <f ca="1">OFFSET(PO!J$12,ROW(A133)-ROW($A$12),0)</f>
        <v>Serviço</v>
      </c>
      <c r="B133" s="130" t="str">
        <f ca="1">IF($A133=0,"",OFFSET(PO!K$12,ROW(B133)-ROW(B$12),0))</f>
        <v>15.0.3.</v>
      </c>
      <c r="C133" s="127" t="str">
        <f ca="1">IF(OFFSET(PO!N$12,ROW(C133)-ROW(C$12),0)=0,"",OFFSET(PO!N$12,ROW(C133)-ROW(C$12),0))</f>
        <v>INSTALAÇÃO DE VIDRO TEMPERADO, E = 6 MM, ENCAIXADO EM PERFIL U. AF_01/2021_PS</v>
      </c>
      <c r="D133" s="129" t="str">
        <f ca="1">IF(OFFSET(PO!O$12,ROW(D133)-ROW(D$12),0)=0,"",OFFSET(PO!O$12,ROW(D133)-ROW(D$12),0))</f>
        <v>M2</v>
      </c>
      <c r="E133" s="165">
        <f ca="1">IF($A133&lt;&gt;"Serviço",0,ROUND(SUMIF($F$9:$BD$9,"&lt;&gt;",$F133:$BD133),15-13*PO!$X$3))</f>
        <v>6.16</v>
      </c>
      <c r="F133" s="400">
        <f>(0.7*1.4*2)+(0.7*1.2*2)+(0.7*1*2)+(0.7*0.8*2)</f>
        <v>6.159999999999999</v>
      </c>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I133" s="215"/>
    </row>
    <row r="134" spans="1:61" s="4" customFormat="1" ht="12.7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I134" s="83"/>
    </row>
    <row r="135" spans="2:61" s="4" customFormat="1" ht="12.75">
      <c r="B135" s="9"/>
      <c r="C135" s="14"/>
      <c r="D135" s="9"/>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I135" s="16"/>
    </row>
    <row r="136" spans="2:61" s="4" customFormat="1" ht="12.75">
      <c r="B136" s="371" t="str">
        <f>PO!$K$145</f>
        <v>ENTRE RIOS DO SUL/RS</v>
      </c>
      <c r="C136" s="371"/>
      <c r="D136" s="9"/>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I136" s="16"/>
    </row>
    <row r="137" spans="2:61" s="4" customFormat="1" ht="12.75">
      <c r="B137" s="113" t="s">
        <v>120</v>
      </c>
      <c r="C137" s="14"/>
      <c r="D137" s="9"/>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I137" s="16"/>
    </row>
    <row r="138" spans="2:61" s="4" customFormat="1" ht="12.75">
      <c r="B138" s="14"/>
      <c r="C138" s="14"/>
      <c r="D138" s="9"/>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I138" s="16"/>
    </row>
    <row r="139" spans="2:61" s="4" customFormat="1" ht="12.75">
      <c r="B139" s="372" t="str">
        <f>PO!$K$148</f>
        <v>20 de dezembro de 2023</v>
      </c>
      <c r="C139" s="372"/>
      <c r="D139" s="9"/>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I139" s="16"/>
    </row>
    <row r="140" spans="2:61" s="4" customFormat="1" ht="12.75">
      <c r="B140" s="142" t="s">
        <v>121</v>
      </c>
      <c r="C140" s="143"/>
      <c r="D140" s="9"/>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I140" s="16"/>
    </row>
  </sheetData>
  <sheetProtection password="C95B" sheet="1" objects="1" scenarios="1"/>
  <mergeCells count="2">
    <mergeCell ref="B136:C136"/>
    <mergeCell ref="B139:C139"/>
  </mergeCells>
  <conditionalFormatting sqref="D11:E11 D24:E26 D99:E100 D52:E52 D68:E68 D74:E75 D78:E80 D131:E132 D102:E103 D114:E119 D36:E38 D20:E21 D92:E95 D82:E84 D127:E129 D31:E32 D13:E18 D34:E34 D55:E58 D60:E60 D62:E65 D106:E108 D111:E111 D49:E49">
    <cfRule type="expression" priority="6112" dxfId="144" stopIfTrue="1">
      <formula>$A11="Meta"</formula>
    </cfRule>
    <cfRule type="expression" priority="6113" dxfId="143" stopIfTrue="1">
      <formula>$A11&lt;&gt;"Serviço"</formula>
    </cfRule>
  </conditionalFormatting>
  <conditionalFormatting sqref="C11 C24:C26 C99:C100 C52 C68 C74:C75 C78:C80 C131:C132 C102:C103 C114:C119 C36:C38 C20:C21 C92:C95 C82:C84 C127:C129 C31:C32 C13:C18 C34 C55:C58 C60 C62:C65 C106:C108 C111 C49">
    <cfRule type="expression" priority="6114" dxfId="140" stopIfTrue="1">
      <formula>$A11="Meta"</formula>
    </cfRule>
    <cfRule type="expression" priority="6115" dxfId="139" stopIfTrue="1">
      <formula>$A11&lt;&gt;"Serviço"</formula>
    </cfRule>
  </conditionalFormatting>
  <conditionalFormatting sqref="A11:B11 A24:B26 A99:B100 A52:B52 A68:B68 A74:B75 A78:B80 A131:B132 A102:B103 A114:B119 A36:B38 A20:B21 A92:B95 A82:B84 A127:B129 A31:B32 A13:B18 A34:B34 A55:B58 A60:B60 A62:B65 A106:B108 A111:B111 A49:B49">
    <cfRule type="expression" priority="6116" dxfId="140" stopIfTrue="1">
      <formula>$A11="Meta"</formula>
    </cfRule>
    <cfRule type="expression" priority="6117" dxfId="139" stopIfTrue="1">
      <formula>LEFT($A11,5)="Nível"</formula>
    </cfRule>
    <cfRule type="expression" priority="6118" dxfId="138" stopIfTrue="1">
      <formula>$A11=0</formula>
    </cfRule>
  </conditionalFormatting>
  <conditionalFormatting sqref="BI11 F13:BC32 BI13:BI32 F34:BC133 BI34:BI133">
    <cfRule type="expression" priority="6128" dxfId="144" stopIfTrue="1">
      <formula>$A11="Meta"</formula>
    </cfRule>
    <cfRule type="expression" priority="6129" dxfId="138" stopIfTrue="1">
      <formula>OR(F$9=0,$A11&lt;&gt;"Serviço")</formula>
    </cfRule>
    <cfRule type="expression" priority="6130" dxfId="187" stopIfTrue="1">
      <formula>TipoOrçamento="Licitado"</formula>
    </cfRule>
  </conditionalFormatting>
  <conditionalFormatting sqref="BI9">
    <cfRule type="expression" priority="5550" dxfId="138" stopIfTrue="1">
      <formula>AND(BH9=0,BI9=0)</formula>
    </cfRule>
    <cfRule type="expression" priority="5551" dxfId="187" stopIfTrue="1">
      <formula>TipoOrçamento="Licitado"</formula>
    </cfRule>
  </conditionalFormatting>
  <conditionalFormatting sqref="F11:O11">
    <cfRule type="expression" priority="5510" dxfId="144" stopIfTrue="1">
      <formula>$A11="Meta"</formula>
    </cfRule>
    <cfRule type="expression" priority="5511" dxfId="138" stopIfTrue="1">
      <formula>OR(F$9=0,$A11&lt;&gt;"Serviço")</formula>
    </cfRule>
    <cfRule type="expression" priority="5512" dxfId="187" stopIfTrue="1">
      <formula>TipoOrçamento="Licitado"</formula>
    </cfRule>
  </conditionalFormatting>
  <conditionalFormatting sqref="F9:O9">
    <cfRule type="expression" priority="5508" dxfId="138" stopIfTrue="1">
      <formula>AND(E9=0,F9=0)</formula>
    </cfRule>
    <cfRule type="expression" priority="5509" dxfId="187" stopIfTrue="1">
      <formula>TipoOrçamento="Licitado"</formula>
    </cfRule>
  </conditionalFormatting>
  <conditionalFormatting sqref="P11:Y11">
    <cfRule type="expression" priority="5326" dxfId="144" stopIfTrue="1">
      <formula>$A11="Meta"</formula>
    </cfRule>
    <cfRule type="expression" priority="5327" dxfId="138" stopIfTrue="1">
      <formula>OR(P$9=0,$A11&lt;&gt;"Serviço")</formula>
    </cfRule>
    <cfRule type="expression" priority="5328" dxfId="187" stopIfTrue="1">
      <formula>TipoOrçamento="Licitado"</formula>
    </cfRule>
  </conditionalFormatting>
  <conditionalFormatting sqref="P9:Y9">
    <cfRule type="expression" priority="5324" dxfId="138" stopIfTrue="1">
      <formula>AND(O9=0,P9=0)</formula>
    </cfRule>
    <cfRule type="expression" priority="5325" dxfId="187" stopIfTrue="1">
      <formula>TipoOrçamento="Licitado"</formula>
    </cfRule>
  </conditionalFormatting>
  <conditionalFormatting sqref="Z11:AI11">
    <cfRule type="expression" priority="5315" dxfId="144" stopIfTrue="1">
      <formula>$A11="Meta"</formula>
    </cfRule>
    <cfRule type="expression" priority="5316" dxfId="138" stopIfTrue="1">
      <formula>OR(Z$9=0,$A11&lt;&gt;"Serviço")</formula>
    </cfRule>
    <cfRule type="expression" priority="5317" dxfId="187" stopIfTrue="1">
      <formula>TipoOrçamento="Licitado"</formula>
    </cfRule>
  </conditionalFormatting>
  <conditionalFormatting sqref="Z9:AI9">
    <cfRule type="expression" priority="5313" dxfId="138" stopIfTrue="1">
      <formula>AND(Y9=0,Z9=0)</formula>
    </cfRule>
    <cfRule type="expression" priority="5314" dxfId="187" stopIfTrue="1">
      <formula>TipoOrçamento="Licitado"</formula>
    </cfRule>
  </conditionalFormatting>
  <conditionalFormatting sqref="AJ11:AS11">
    <cfRule type="expression" priority="5304" dxfId="144" stopIfTrue="1">
      <formula>$A11="Meta"</formula>
    </cfRule>
    <cfRule type="expression" priority="5305" dxfId="138" stopIfTrue="1">
      <formula>OR(AJ$9=0,$A11&lt;&gt;"Serviço")</formula>
    </cfRule>
    <cfRule type="expression" priority="5306" dxfId="187" stopIfTrue="1">
      <formula>TipoOrçamento="Licitado"</formula>
    </cfRule>
  </conditionalFormatting>
  <conditionalFormatting sqref="AJ9:AS9">
    <cfRule type="expression" priority="5302" dxfId="138" stopIfTrue="1">
      <formula>AND(AI9=0,AJ9=0)</formula>
    </cfRule>
    <cfRule type="expression" priority="5303" dxfId="187" stopIfTrue="1">
      <formula>TipoOrçamento="Licitado"</formula>
    </cfRule>
  </conditionalFormatting>
  <conditionalFormatting sqref="AT11:BC11">
    <cfRule type="expression" priority="5271" dxfId="144" stopIfTrue="1">
      <formula>$A11="Meta"</formula>
    </cfRule>
    <cfRule type="expression" priority="5272" dxfId="138" stopIfTrue="1">
      <formula>OR(AT$9=0,$A11&lt;&gt;"Serviço")</formula>
    </cfRule>
    <cfRule type="expression" priority="5273" dxfId="187" stopIfTrue="1">
      <formula>TipoOrçamento="Licitado"</formula>
    </cfRule>
  </conditionalFormatting>
  <conditionalFormatting sqref="AT9:BC9">
    <cfRule type="expression" priority="5269" dxfId="138" stopIfTrue="1">
      <formula>AND(AS9=0,AT9=0)</formula>
    </cfRule>
    <cfRule type="expression" priority="5270" dxfId="187" stopIfTrue="1">
      <formula>TipoOrçamento="Licitado"</formula>
    </cfRule>
  </conditionalFormatting>
  <conditionalFormatting sqref="D22:E23 D27:E29 D46:E47">
    <cfRule type="expression" priority="5078" dxfId="144" stopIfTrue="1">
      <formula>$A22="Meta"</formula>
    </cfRule>
    <cfRule type="expression" priority="5079" dxfId="143" stopIfTrue="1">
      <formula>$A22&lt;&gt;"Serviço"</formula>
    </cfRule>
  </conditionalFormatting>
  <conditionalFormatting sqref="C22:C23 C27:C29 C46:C47">
    <cfRule type="expression" priority="5080" dxfId="140" stopIfTrue="1">
      <formula>$A22="Meta"</formula>
    </cfRule>
    <cfRule type="expression" priority="5081" dxfId="139" stopIfTrue="1">
      <formula>$A22&lt;&gt;"Serviço"</formula>
    </cfRule>
  </conditionalFormatting>
  <conditionalFormatting sqref="A22:B23 A27:B29 A46:B47">
    <cfRule type="expression" priority="5082" dxfId="140" stopIfTrue="1">
      <formula>$A22="Meta"</formula>
    </cfRule>
    <cfRule type="expression" priority="5083" dxfId="139" stopIfTrue="1">
      <formula>LEFT($A22,5)="Nível"</formula>
    </cfRule>
    <cfRule type="expression" priority="5084" dxfId="138" stopIfTrue="1">
      <formula>$A22=0</formula>
    </cfRule>
  </conditionalFormatting>
  <conditionalFormatting sqref="D30:E30">
    <cfRule type="expression" priority="5003" dxfId="144" stopIfTrue="1">
      <formula>$A30="Meta"</formula>
    </cfRule>
    <cfRule type="expression" priority="5004" dxfId="143" stopIfTrue="1">
      <formula>$A30&lt;&gt;"Serviço"</formula>
    </cfRule>
  </conditionalFormatting>
  <conditionalFormatting sqref="C30">
    <cfRule type="expression" priority="5005" dxfId="140" stopIfTrue="1">
      <formula>$A30="Meta"</formula>
    </cfRule>
    <cfRule type="expression" priority="5006" dxfId="139" stopIfTrue="1">
      <formula>$A30&lt;&gt;"Serviço"</formula>
    </cfRule>
  </conditionalFormatting>
  <conditionalFormatting sqref="A30:B30">
    <cfRule type="expression" priority="5007" dxfId="140" stopIfTrue="1">
      <formula>$A30="Meta"</formula>
    </cfRule>
    <cfRule type="expression" priority="5008" dxfId="139" stopIfTrue="1">
      <formula>LEFT($A30,5)="Nível"</formula>
    </cfRule>
    <cfRule type="expression" priority="5009" dxfId="138" stopIfTrue="1">
      <formula>$A30=0</formula>
    </cfRule>
  </conditionalFormatting>
  <conditionalFormatting sqref="D96:E97">
    <cfRule type="expression" priority="4553" dxfId="144" stopIfTrue="1">
      <formula>$A96="Meta"</formula>
    </cfRule>
    <cfRule type="expression" priority="4554" dxfId="143" stopIfTrue="1">
      <formula>$A96&lt;&gt;"Serviço"</formula>
    </cfRule>
  </conditionalFormatting>
  <conditionalFormatting sqref="C96:C97">
    <cfRule type="expression" priority="4555" dxfId="140" stopIfTrue="1">
      <formula>$A96="Meta"</formula>
    </cfRule>
    <cfRule type="expression" priority="4556" dxfId="139" stopIfTrue="1">
      <formula>$A96&lt;&gt;"Serviço"</formula>
    </cfRule>
  </conditionalFormatting>
  <conditionalFormatting sqref="A96:B97">
    <cfRule type="expression" priority="4557" dxfId="140" stopIfTrue="1">
      <formula>$A96="Meta"</formula>
    </cfRule>
    <cfRule type="expression" priority="4558" dxfId="139" stopIfTrue="1">
      <formula>LEFT($A96,5)="Nível"</formula>
    </cfRule>
    <cfRule type="expression" priority="4559" dxfId="138" stopIfTrue="1">
      <formula>$A96=0</formula>
    </cfRule>
  </conditionalFormatting>
  <conditionalFormatting sqref="D85:E85">
    <cfRule type="expression" priority="4153" dxfId="144" stopIfTrue="1">
      <formula>$A85="Meta"</formula>
    </cfRule>
    <cfRule type="expression" priority="4154" dxfId="143" stopIfTrue="1">
      <formula>$A85&lt;&gt;"Serviço"</formula>
    </cfRule>
  </conditionalFormatting>
  <conditionalFormatting sqref="C85">
    <cfRule type="expression" priority="4155" dxfId="140" stopIfTrue="1">
      <formula>$A85="Meta"</formula>
    </cfRule>
    <cfRule type="expression" priority="4156" dxfId="139" stopIfTrue="1">
      <formula>$A85&lt;&gt;"Serviço"</formula>
    </cfRule>
  </conditionalFormatting>
  <conditionalFormatting sqref="A85:B85">
    <cfRule type="expression" priority="4157" dxfId="140" stopIfTrue="1">
      <formula>$A85="Meta"</formula>
    </cfRule>
    <cfRule type="expression" priority="4158" dxfId="139" stopIfTrue="1">
      <formula>LEFT($A85,5)="Nível"</formula>
    </cfRule>
    <cfRule type="expression" priority="4159" dxfId="138" stopIfTrue="1">
      <formula>$A85=0</formula>
    </cfRule>
  </conditionalFormatting>
  <conditionalFormatting sqref="D130:E130">
    <cfRule type="expression" priority="3341" dxfId="144" stopIfTrue="1">
      <formula>$A130="Meta"</formula>
    </cfRule>
    <cfRule type="expression" priority="3342" dxfId="143" stopIfTrue="1">
      <formula>$A130&lt;&gt;"Serviço"</formula>
    </cfRule>
  </conditionalFormatting>
  <conditionalFormatting sqref="C130">
    <cfRule type="expression" priority="3343" dxfId="140" stopIfTrue="1">
      <formula>$A130="Meta"</formula>
    </cfRule>
    <cfRule type="expression" priority="3344" dxfId="139" stopIfTrue="1">
      <formula>$A130&lt;&gt;"Serviço"</formula>
    </cfRule>
  </conditionalFormatting>
  <conditionalFormatting sqref="A130:B130">
    <cfRule type="expression" priority="3345" dxfId="140" stopIfTrue="1">
      <formula>$A130="Meta"</formula>
    </cfRule>
    <cfRule type="expression" priority="3346" dxfId="139" stopIfTrue="1">
      <formula>LEFT($A130,5)="Nível"</formula>
    </cfRule>
    <cfRule type="expression" priority="3347" dxfId="138" stopIfTrue="1">
      <formula>$A130=0</formula>
    </cfRule>
  </conditionalFormatting>
  <conditionalFormatting sqref="D98:E98">
    <cfRule type="expression" priority="2266" dxfId="144" stopIfTrue="1">
      <formula>$A98="Meta"</formula>
    </cfRule>
    <cfRule type="expression" priority="2267" dxfId="143" stopIfTrue="1">
      <formula>$A98&lt;&gt;"Serviço"</formula>
    </cfRule>
  </conditionalFormatting>
  <conditionalFormatting sqref="C98">
    <cfRule type="expression" priority="2268" dxfId="140" stopIfTrue="1">
      <formula>$A98="Meta"</formula>
    </cfRule>
    <cfRule type="expression" priority="2269" dxfId="139" stopIfTrue="1">
      <formula>$A98&lt;&gt;"Serviço"</formula>
    </cfRule>
  </conditionalFormatting>
  <conditionalFormatting sqref="A98:B98">
    <cfRule type="expression" priority="2270" dxfId="140" stopIfTrue="1">
      <formula>$A98="Meta"</formula>
    </cfRule>
    <cfRule type="expression" priority="2271" dxfId="139" stopIfTrue="1">
      <formula>LEFT($A98,5)="Nível"</formula>
    </cfRule>
    <cfRule type="expression" priority="2272" dxfId="138" stopIfTrue="1">
      <formula>$A98=0</formula>
    </cfRule>
  </conditionalFormatting>
  <conditionalFormatting sqref="D50:E50">
    <cfRule type="expression" priority="2116" dxfId="144" stopIfTrue="1">
      <formula>$A50="Meta"</formula>
    </cfRule>
    <cfRule type="expression" priority="2117" dxfId="143" stopIfTrue="1">
      <formula>$A50&lt;&gt;"Serviço"</formula>
    </cfRule>
  </conditionalFormatting>
  <conditionalFormatting sqref="C50">
    <cfRule type="expression" priority="2118" dxfId="140" stopIfTrue="1">
      <formula>$A50="Meta"</formula>
    </cfRule>
    <cfRule type="expression" priority="2119" dxfId="139" stopIfTrue="1">
      <formula>$A50&lt;&gt;"Serviço"</formula>
    </cfRule>
  </conditionalFormatting>
  <conditionalFormatting sqref="A50:B50">
    <cfRule type="expression" priority="2120" dxfId="140" stopIfTrue="1">
      <formula>$A50="Meta"</formula>
    </cfRule>
    <cfRule type="expression" priority="2121" dxfId="139" stopIfTrue="1">
      <formula>LEFT($A50,5)="Nível"</formula>
    </cfRule>
    <cfRule type="expression" priority="2122" dxfId="138" stopIfTrue="1">
      <formula>$A50=0</formula>
    </cfRule>
  </conditionalFormatting>
  <conditionalFormatting sqref="D69:E69">
    <cfRule type="expression" priority="1966" dxfId="144" stopIfTrue="1">
      <formula>$A69="Meta"</formula>
    </cfRule>
    <cfRule type="expression" priority="1967" dxfId="143" stopIfTrue="1">
      <formula>$A69&lt;&gt;"Serviço"</formula>
    </cfRule>
  </conditionalFormatting>
  <conditionalFormatting sqref="C69">
    <cfRule type="expression" priority="1968" dxfId="140" stopIfTrue="1">
      <formula>$A69="Meta"</formula>
    </cfRule>
    <cfRule type="expression" priority="1969" dxfId="139" stopIfTrue="1">
      <formula>$A69&lt;&gt;"Serviço"</formula>
    </cfRule>
  </conditionalFormatting>
  <conditionalFormatting sqref="A69:B69">
    <cfRule type="expression" priority="1970" dxfId="140" stopIfTrue="1">
      <formula>$A69="Meta"</formula>
    </cfRule>
    <cfRule type="expression" priority="1971" dxfId="139" stopIfTrue="1">
      <formula>LEFT($A69,5)="Nível"</formula>
    </cfRule>
    <cfRule type="expression" priority="1972" dxfId="138" stopIfTrue="1">
      <formula>$A69=0</formula>
    </cfRule>
  </conditionalFormatting>
  <conditionalFormatting sqref="D73:E73">
    <cfRule type="expression" priority="1891" dxfId="144" stopIfTrue="1">
      <formula>$A73="Meta"</formula>
    </cfRule>
    <cfRule type="expression" priority="1892" dxfId="143" stopIfTrue="1">
      <formula>$A73&lt;&gt;"Serviço"</formula>
    </cfRule>
  </conditionalFormatting>
  <conditionalFormatting sqref="C73">
    <cfRule type="expression" priority="1893" dxfId="140" stopIfTrue="1">
      <formula>$A73="Meta"</formula>
    </cfRule>
    <cfRule type="expression" priority="1894" dxfId="139" stopIfTrue="1">
      <formula>$A73&lt;&gt;"Serviço"</formula>
    </cfRule>
  </conditionalFormatting>
  <conditionalFormatting sqref="A73:B73">
    <cfRule type="expression" priority="1895" dxfId="140" stopIfTrue="1">
      <formula>$A73="Meta"</formula>
    </cfRule>
    <cfRule type="expression" priority="1896" dxfId="139" stopIfTrue="1">
      <formula>LEFT($A73,5)="Nível"</formula>
    </cfRule>
    <cfRule type="expression" priority="1897" dxfId="138" stopIfTrue="1">
      <formula>$A73=0</formula>
    </cfRule>
  </conditionalFormatting>
  <conditionalFormatting sqref="D72:E72">
    <cfRule type="expression" priority="1841" dxfId="144" stopIfTrue="1">
      <formula>$A72="Meta"</formula>
    </cfRule>
    <cfRule type="expression" priority="1842" dxfId="143" stopIfTrue="1">
      <formula>$A72&lt;&gt;"Serviço"</formula>
    </cfRule>
  </conditionalFormatting>
  <conditionalFormatting sqref="C72">
    <cfRule type="expression" priority="1843" dxfId="140" stopIfTrue="1">
      <formula>$A72="Meta"</formula>
    </cfRule>
    <cfRule type="expression" priority="1844" dxfId="139" stopIfTrue="1">
      <formula>$A72&lt;&gt;"Serviço"</formula>
    </cfRule>
  </conditionalFormatting>
  <conditionalFormatting sqref="A72:B72">
    <cfRule type="expression" priority="1845" dxfId="140" stopIfTrue="1">
      <formula>$A72="Meta"</formula>
    </cfRule>
    <cfRule type="expression" priority="1846" dxfId="139" stopIfTrue="1">
      <formula>LEFT($A72,5)="Nível"</formula>
    </cfRule>
    <cfRule type="expression" priority="1847" dxfId="138" stopIfTrue="1">
      <formula>$A72=0</formula>
    </cfRule>
  </conditionalFormatting>
  <conditionalFormatting sqref="D45:E45">
    <cfRule type="expression" priority="1716" dxfId="144" stopIfTrue="1">
      <formula>$A45="Meta"</formula>
    </cfRule>
    <cfRule type="expression" priority="1717" dxfId="143" stopIfTrue="1">
      <formula>$A45&lt;&gt;"Serviço"</formula>
    </cfRule>
  </conditionalFormatting>
  <conditionalFormatting sqref="C45">
    <cfRule type="expression" priority="1718" dxfId="140" stopIfTrue="1">
      <formula>$A45="Meta"</formula>
    </cfRule>
    <cfRule type="expression" priority="1719" dxfId="139" stopIfTrue="1">
      <formula>$A45&lt;&gt;"Serviço"</formula>
    </cfRule>
  </conditionalFormatting>
  <conditionalFormatting sqref="A45:B45">
    <cfRule type="expression" priority="1720" dxfId="140" stopIfTrue="1">
      <formula>$A45="Meta"</formula>
    </cfRule>
    <cfRule type="expression" priority="1721" dxfId="139" stopIfTrue="1">
      <formula>LEFT($A45,5)="Nível"</formula>
    </cfRule>
    <cfRule type="expression" priority="1722" dxfId="138" stopIfTrue="1">
      <formula>$A45=0</formula>
    </cfRule>
  </conditionalFormatting>
  <conditionalFormatting sqref="D35:E35">
    <cfRule type="expression" priority="1566" dxfId="144" stopIfTrue="1">
      <formula>$A35="Meta"</formula>
    </cfRule>
    <cfRule type="expression" priority="1567" dxfId="143" stopIfTrue="1">
      <formula>$A35&lt;&gt;"Serviço"</formula>
    </cfRule>
  </conditionalFormatting>
  <conditionalFormatting sqref="C35">
    <cfRule type="expression" priority="1568" dxfId="140" stopIfTrue="1">
      <formula>$A35="Meta"</formula>
    </cfRule>
    <cfRule type="expression" priority="1569" dxfId="139" stopIfTrue="1">
      <formula>$A35&lt;&gt;"Serviço"</formula>
    </cfRule>
  </conditionalFormatting>
  <conditionalFormatting sqref="A35:B35">
    <cfRule type="expression" priority="1570" dxfId="140" stopIfTrue="1">
      <formula>$A35="Meta"</formula>
    </cfRule>
    <cfRule type="expression" priority="1571" dxfId="139" stopIfTrue="1">
      <formula>LEFT($A35,5)="Nível"</formula>
    </cfRule>
    <cfRule type="expression" priority="1572" dxfId="138" stopIfTrue="1">
      <formula>$A35=0</formula>
    </cfRule>
  </conditionalFormatting>
  <conditionalFormatting sqref="D53:E54">
    <cfRule type="expression" priority="1441" dxfId="144" stopIfTrue="1">
      <formula>$A53="Meta"</formula>
    </cfRule>
    <cfRule type="expression" priority="1442" dxfId="143" stopIfTrue="1">
      <formula>$A53&lt;&gt;"Serviço"</formula>
    </cfRule>
  </conditionalFormatting>
  <conditionalFormatting sqref="C53:C54">
    <cfRule type="expression" priority="1443" dxfId="140" stopIfTrue="1">
      <formula>$A53="Meta"</formula>
    </cfRule>
    <cfRule type="expression" priority="1444" dxfId="139" stopIfTrue="1">
      <formula>$A53&lt;&gt;"Serviço"</formula>
    </cfRule>
  </conditionalFormatting>
  <conditionalFormatting sqref="A53:B54">
    <cfRule type="expression" priority="1445" dxfId="140" stopIfTrue="1">
      <formula>$A53="Meta"</formula>
    </cfRule>
    <cfRule type="expression" priority="1446" dxfId="139" stopIfTrue="1">
      <formula>LEFT($A53,5)="Nível"</formula>
    </cfRule>
    <cfRule type="expression" priority="1447" dxfId="138" stopIfTrue="1">
      <formula>$A53=0</formula>
    </cfRule>
  </conditionalFormatting>
  <conditionalFormatting sqref="D66:E66">
    <cfRule type="expression" priority="1266" dxfId="144" stopIfTrue="1">
      <formula>$A66="Meta"</formula>
    </cfRule>
    <cfRule type="expression" priority="1267" dxfId="143" stopIfTrue="1">
      <formula>$A66&lt;&gt;"Serviço"</formula>
    </cfRule>
  </conditionalFormatting>
  <conditionalFormatting sqref="C66">
    <cfRule type="expression" priority="1268" dxfId="140" stopIfTrue="1">
      <formula>$A66="Meta"</formula>
    </cfRule>
    <cfRule type="expression" priority="1269" dxfId="139" stopIfTrue="1">
      <formula>$A66&lt;&gt;"Serviço"</formula>
    </cfRule>
  </conditionalFormatting>
  <conditionalFormatting sqref="A66:B66">
    <cfRule type="expression" priority="1270" dxfId="140" stopIfTrue="1">
      <formula>$A66="Meta"</formula>
    </cfRule>
    <cfRule type="expression" priority="1271" dxfId="139" stopIfTrue="1">
      <formula>LEFT($A66,5)="Nível"</formula>
    </cfRule>
    <cfRule type="expression" priority="1272" dxfId="138" stopIfTrue="1">
      <formula>$A66=0</formula>
    </cfRule>
  </conditionalFormatting>
  <conditionalFormatting sqref="D59:E59">
    <cfRule type="expression" priority="1241" dxfId="144" stopIfTrue="1">
      <formula>$A59="Meta"</formula>
    </cfRule>
    <cfRule type="expression" priority="1242" dxfId="143" stopIfTrue="1">
      <formula>$A59&lt;&gt;"Serviço"</formula>
    </cfRule>
  </conditionalFormatting>
  <conditionalFormatting sqref="C59">
    <cfRule type="expression" priority="1243" dxfId="140" stopIfTrue="1">
      <formula>$A59="Meta"</formula>
    </cfRule>
    <cfRule type="expression" priority="1244" dxfId="139" stopIfTrue="1">
      <formula>$A59&lt;&gt;"Serviço"</formula>
    </cfRule>
  </conditionalFormatting>
  <conditionalFormatting sqref="A59:B59">
    <cfRule type="expression" priority="1245" dxfId="140" stopIfTrue="1">
      <formula>$A59="Meta"</formula>
    </cfRule>
    <cfRule type="expression" priority="1246" dxfId="139" stopIfTrue="1">
      <formula>LEFT($A59,5)="Nível"</formula>
    </cfRule>
    <cfRule type="expression" priority="1247" dxfId="138" stopIfTrue="1">
      <formula>$A59=0</formula>
    </cfRule>
  </conditionalFormatting>
  <conditionalFormatting sqref="D67:E67">
    <cfRule type="expression" priority="1191" dxfId="144" stopIfTrue="1">
      <formula>$A67="Meta"</formula>
    </cfRule>
    <cfRule type="expression" priority="1192" dxfId="143" stopIfTrue="1">
      <formula>$A67&lt;&gt;"Serviço"</formula>
    </cfRule>
  </conditionalFormatting>
  <conditionalFormatting sqref="C67">
    <cfRule type="expression" priority="1193" dxfId="140" stopIfTrue="1">
      <formula>$A67="Meta"</formula>
    </cfRule>
    <cfRule type="expression" priority="1194" dxfId="139" stopIfTrue="1">
      <formula>$A67&lt;&gt;"Serviço"</formula>
    </cfRule>
  </conditionalFormatting>
  <conditionalFormatting sqref="A67:B67">
    <cfRule type="expression" priority="1195" dxfId="140" stopIfTrue="1">
      <formula>$A67="Meta"</formula>
    </cfRule>
    <cfRule type="expression" priority="1196" dxfId="139" stopIfTrue="1">
      <formula>LEFT($A67,5)="Nível"</formula>
    </cfRule>
    <cfRule type="expression" priority="1197" dxfId="138" stopIfTrue="1">
      <formula>$A67=0</formula>
    </cfRule>
  </conditionalFormatting>
  <conditionalFormatting sqref="D77:E77">
    <cfRule type="expression" priority="1041" dxfId="144" stopIfTrue="1">
      <formula>$A77="Meta"</formula>
    </cfRule>
    <cfRule type="expression" priority="1042" dxfId="143" stopIfTrue="1">
      <formula>$A77&lt;&gt;"Serviço"</formula>
    </cfRule>
  </conditionalFormatting>
  <conditionalFormatting sqref="C77">
    <cfRule type="expression" priority="1043" dxfId="140" stopIfTrue="1">
      <formula>$A77="Meta"</formula>
    </cfRule>
    <cfRule type="expression" priority="1044" dxfId="139" stopIfTrue="1">
      <formula>$A77&lt;&gt;"Serviço"</formula>
    </cfRule>
  </conditionalFormatting>
  <conditionalFormatting sqref="A77:B77">
    <cfRule type="expression" priority="1045" dxfId="140" stopIfTrue="1">
      <formula>$A77="Meta"</formula>
    </cfRule>
    <cfRule type="expression" priority="1046" dxfId="139" stopIfTrue="1">
      <formula>LEFT($A77,5)="Nível"</formula>
    </cfRule>
    <cfRule type="expression" priority="1047" dxfId="138" stopIfTrue="1">
      <formula>$A77=0</formula>
    </cfRule>
  </conditionalFormatting>
  <conditionalFormatting sqref="D101:E101">
    <cfRule type="expression" priority="1016" dxfId="144" stopIfTrue="1">
      <formula>$A101="Meta"</formula>
    </cfRule>
    <cfRule type="expression" priority="1017" dxfId="143" stopIfTrue="1">
      <formula>$A101&lt;&gt;"Serviço"</formula>
    </cfRule>
  </conditionalFormatting>
  <conditionalFormatting sqref="C101">
    <cfRule type="expression" priority="1018" dxfId="140" stopIfTrue="1">
      <formula>$A101="Meta"</formula>
    </cfRule>
    <cfRule type="expression" priority="1019" dxfId="139" stopIfTrue="1">
      <formula>$A101&lt;&gt;"Serviço"</formula>
    </cfRule>
  </conditionalFormatting>
  <conditionalFormatting sqref="A101:B101">
    <cfRule type="expression" priority="1020" dxfId="140" stopIfTrue="1">
      <formula>$A101="Meta"</formula>
    </cfRule>
    <cfRule type="expression" priority="1021" dxfId="139" stopIfTrue="1">
      <formula>LEFT($A101,5)="Nível"</formula>
    </cfRule>
    <cfRule type="expression" priority="1022" dxfId="138" stopIfTrue="1">
      <formula>$A101=0</formula>
    </cfRule>
  </conditionalFormatting>
  <conditionalFormatting sqref="D81:E81">
    <cfRule type="expression" priority="991" dxfId="144" stopIfTrue="1">
      <formula>$A81="Meta"</formula>
    </cfRule>
    <cfRule type="expression" priority="992" dxfId="143" stopIfTrue="1">
      <formula>$A81&lt;&gt;"Serviço"</formula>
    </cfRule>
  </conditionalFormatting>
  <conditionalFormatting sqref="C81">
    <cfRule type="expression" priority="993" dxfId="140" stopIfTrue="1">
      <formula>$A81="Meta"</formula>
    </cfRule>
    <cfRule type="expression" priority="994" dxfId="139" stopIfTrue="1">
      <formula>$A81&lt;&gt;"Serviço"</formula>
    </cfRule>
  </conditionalFormatting>
  <conditionalFormatting sqref="A81:B81">
    <cfRule type="expression" priority="995" dxfId="140" stopIfTrue="1">
      <formula>$A81="Meta"</formula>
    </cfRule>
    <cfRule type="expression" priority="996" dxfId="139" stopIfTrue="1">
      <formula>LEFT($A81,5)="Nível"</formula>
    </cfRule>
    <cfRule type="expression" priority="997" dxfId="138" stopIfTrue="1">
      <formula>$A81=0</formula>
    </cfRule>
  </conditionalFormatting>
  <conditionalFormatting sqref="D39:E40 D43:E44">
    <cfRule type="expression" priority="966" dxfId="144" stopIfTrue="1">
      <formula>$A39="Meta"</formula>
    </cfRule>
    <cfRule type="expression" priority="967" dxfId="143" stopIfTrue="1">
      <formula>$A39&lt;&gt;"Serviço"</formula>
    </cfRule>
  </conditionalFormatting>
  <conditionalFormatting sqref="C39:C40 C43:C44">
    <cfRule type="expression" priority="968" dxfId="140" stopIfTrue="1">
      <formula>$A39="Meta"</formula>
    </cfRule>
    <cfRule type="expression" priority="969" dxfId="139" stopIfTrue="1">
      <formula>$A39&lt;&gt;"Serviço"</formula>
    </cfRule>
  </conditionalFormatting>
  <conditionalFormatting sqref="A39:B40 A43:B44">
    <cfRule type="expression" priority="970" dxfId="140" stopIfTrue="1">
      <formula>$A39="Meta"</formula>
    </cfRule>
    <cfRule type="expression" priority="971" dxfId="139" stopIfTrue="1">
      <formula>LEFT($A39,5)="Nível"</formula>
    </cfRule>
    <cfRule type="expression" priority="972" dxfId="138" stopIfTrue="1">
      <formula>$A39=0</formula>
    </cfRule>
  </conditionalFormatting>
  <conditionalFormatting sqref="D41:E42">
    <cfRule type="expression" priority="941" dxfId="144" stopIfTrue="1">
      <formula>$A41="Meta"</formula>
    </cfRule>
    <cfRule type="expression" priority="942" dxfId="143" stopIfTrue="1">
      <formula>$A41&lt;&gt;"Serviço"</formula>
    </cfRule>
  </conditionalFormatting>
  <conditionalFormatting sqref="C41:C42">
    <cfRule type="expression" priority="943" dxfId="140" stopIfTrue="1">
      <formula>$A41="Meta"</formula>
    </cfRule>
    <cfRule type="expression" priority="944" dxfId="139" stopIfTrue="1">
      <formula>$A41&lt;&gt;"Serviço"</formula>
    </cfRule>
  </conditionalFormatting>
  <conditionalFormatting sqref="A41:B42">
    <cfRule type="expression" priority="945" dxfId="140" stopIfTrue="1">
      <formula>$A41="Meta"</formula>
    </cfRule>
    <cfRule type="expression" priority="946" dxfId="139" stopIfTrue="1">
      <formula>LEFT($A41,5)="Nível"</formula>
    </cfRule>
    <cfRule type="expression" priority="947" dxfId="138" stopIfTrue="1">
      <formula>$A41=0</formula>
    </cfRule>
  </conditionalFormatting>
  <conditionalFormatting sqref="D120:E121">
    <cfRule type="expression" priority="766" dxfId="144" stopIfTrue="1">
      <formula>$A120="Meta"</formula>
    </cfRule>
    <cfRule type="expression" priority="767" dxfId="143" stopIfTrue="1">
      <formula>$A120&lt;&gt;"Serviço"</formula>
    </cfRule>
  </conditionalFormatting>
  <conditionalFormatting sqref="C120:C121">
    <cfRule type="expression" priority="768" dxfId="140" stopIfTrue="1">
      <formula>$A120="Meta"</formula>
    </cfRule>
    <cfRule type="expression" priority="769" dxfId="139" stopIfTrue="1">
      <formula>$A120&lt;&gt;"Serviço"</formula>
    </cfRule>
  </conditionalFormatting>
  <conditionalFormatting sqref="A120:B121">
    <cfRule type="expression" priority="770" dxfId="140" stopIfTrue="1">
      <formula>$A120="Meta"</formula>
    </cfRule>
    <cfRule type="expression" priority="771" dxfId="139" stopIfTrue="1">
      <formula>LEFT($A120,5)="Nível"</formula>
    </cfRule>
    <cfRule type="expression" priority="772" dxfId="138" stopIfTrue="1">
      <formula>$A120=0</formula>
    </cfRule>
  </conditionalFormatting>
  <conditionalFormatting sqref="D112:E113">
    <cfRule type="expression" priority="741" dxfId="144" stopIfTrue="1">
      <formula>$A112="Meta"</formula>
    </cfRule>
    <cfRule type="expression" priority="742" dxfId="143" stopIfTrue="1">
      <formula>$A112&lt;&gt;"Serviço"</formula>
    </cfRule>
  </conditionalFormatting>
  <conditionalFormatting sqref="C112:C113">
    <cfRule type="expression" priority="743" dxfId="140" stopIfTrue="1">
      <formula>$A112="Meta"</formula>
    </cfRule>
    <cfRule type="expression" priority="744" dxfId="139" stopIfTrue="1">
      <formula>$A112&lt;&gt;"Serviço"</formula>
    </cfRule>
  </conditionalFormatting>
  <conditionalFormatting sqref="A112:B113">
    <cfRule type="expression" priority="745" dxfId="140" stopIfTrue="1">
      <formula>$A112="Meta"</formula>
    </cfRule>
    <cfRule type="expression" priority="746" dxfId="139" stopIfTrue="1">
      <formula>LEFT($A112,5)="Nível"</formula>
    </cfRule>
    <cfRule type="expression" priority="747" dxfId="138" stopIfTrue="1">
      <formula>$A112=0</formula>
    </cfRule>
  </conditionalFormatting>
  <conditionalFormatting sqref="D19:E19">
    <cfRule type="expression" priority="666" dxfId="144" stopIfTrue="1">
      <formula>$A19="Meta"</formula>
    </cfRule>
    <cfRule type="expression" priority="667" dxfId="143" stopIfTrue="1">
      <formula>$A19&lt;&gt;"Serviço"</formula>
    </cfRule>
  </conditionalFormatting>
  <conditionalFormatting sqref="C19">
    <cfRule type="expression" priority="668" dxfId="140" stopIfTrue="1">
      <formula>$A19="Meta"</formula>
    </cfRule>
    <cfRule type="expression" priority="669" dxfId="139" stopIfTrue="1">
      <formula>$A19&lt;&gt;"Serviço"</formula>
    </cfRule>
  </conditionalFormatting>
  <conditionalFormatting sqref="A19:B19">
    <cfRule type="expression" priority="670" dxfId="140" stopIfTrue="1">
      <formula>$A19="Meta"</formula>
    </cfRule>
    <cfRule type="expression" priority="671" dxfId="139" stopIfTrue="1">
      <formula>LEFT($A19,5)="Nível"</formula>
    </cfRule>
    <cfRule type="expression" priority="672" dxfId="138" stopIfTrue="1">
      <formula>$A19=0</formula>
    </cfRule>
  </conditionalFormatting>
  <conditionalFormatting sqref="D86:E89 D91:E91">
    <cfRule type="expression" priority="641" dxfId="144" stopIfTrue="1">
      <formula>$A86="Meta"</formula>
    </cfRule>
    <cfRule type="expression" priority="642" dxfId="143" stopIfTrue="1">
      <formula>$A86&lt;&gt;"Serviço"</formula>
    </cfRule>
  </conditionalFormatting>
  <conditionalFormatting sqref="C86:C89 C91">
    <cfRule type="expression" priority="643" dxfId="140" stopIfTrue="1">
      <formula>$A86="Meta"</formula>
    </cfRule>
    <cfRule type="expression" priority="644" dxfId="139" stopIfTrue="1">
      <formula>$A86&lt;&gt;"Serviço"</formula>
    </cfRule>
  </conditionalFormatting>
  <conditionalFormatting sqref="A86:B89 A91:B91">
    <cfRule type="expression" priority="645" dxfId="140" stopIfTrue="1">
      <formula>$A86="Meta"</formula>
    </cfRule>
    <cfRule type="expression" priority="646" dxfId="139" stopIfTrue="1">
      <formula>LEFT($A86,5)="Nível"</formula>
    </cfRule>
    <cfRule type="expression" priority="647" dxfId="138" stopIfTrue="1">
      <formula>$A86=0</formula>
    </cfRule>
  </conditionalFormatting>
  <conditionalFormatting sqref="D90:E90">
    <cfRule type="expression" priority="591" dxfId="144" stopIfTrue="1">
      <formula>$A90="Meta"</formula>
    </cfRule>
    <cfRule type="expression" priority="592" dxfId="143" stopIfTrue="1">
      <formula>$A90&lt;&gt;"Serviço"</formula>
    </cfRule>
  </conditionalFormatting>
  <conditionalFormatting sqref="C90">
    <cfRule type="expression" priority="593" dxfId="140" stopIfTrue="1">
      <formula>$A90="Meta"</formula>
    </cfRule>
    <cfRule type="expression" priority="594" dxfId="139" stopIfTrue="1">
      <formula>$A90&lt;&gt;"Serviço"</formula>
    </cfRule>
  </conditionalFormatting>
  <conditionalFormatting sqref="A90:B90">
    <cfRule type="expression" priority="595" dxfId="140" stopIfTrue="1">
      <formula>$A90="Meta"</formula>
    </cfRule>
    <cfRule type="expression" priority="596" dxfId="139" stopIfTrue="1">
      <formula>LEFT($A90,5)="Nível"</formula>
    </cfRule>
    <cfRule type="expression" priority="597" dxfId="138" stopIfTrue="1">
      <formula>$A90=0</formula>
    </cfRule>
  </conditionalFormatting>
  <conditionalFormatting sqref="D76:E76">
    <cfRule type="expression" priority="566" dxfId="144" stopIfTrue="1">
      <formula>$A76="Meta"</formula>
    </cfRule>
    <cfRule type="expression" priority="567" dxfId="143" stopIfTrue="1">
      <formula>$A76&lt;&gt;"Serviço"</formula>
    </cfRule>
  </conditionalFormatting>
  <conditionalFormatting sqref="C76">
    <cfRule type="expression" priority="568" dxfId="140" stopIfTrue="1">
      <formula>$A76="Meta"</formula>
    </cfRule>
    <cfRule type="expression" priority="569" dxfId="139" stopIfTrue="1">
      <formula>$A76&lt;&gt;"Serviço"</formula>
    </cfRule>
  </conditionalFormatting>
  <conditionalFormatting sqref="A76:B76">
    <cfRule type="expression" priority="570" dxfId="140" stopIfTrue="1">
      <formula>$A76="Meta"</formula>
    </cfRule>
    <cfRule type="expression" priority="571" dxfId="139" stopIfTrue="1">
      <formula>LEFT($A76,5)="Nível"</formula>
    </cfRule>
    <cfRule type="expression" priority="572" dxfId="138" stopIfTrue="1">
      <formula>$A76=0</formula>
    </cfRule>
  </conditionalFormatting>
  <conditionalFormatting sqref="D48:E48">
    <cfRule type="expression" priority="541" dxfId="144" stopIfTrue="1">
      <formula>$A48="Meta"</formula>
    </cfRule>
    <cfRule type="expression" priority="542" dxfId="143" stopIfTrue="1">
      <formula>$A48&lt;&gt;"Serviço"</formula>
    </cfRule>
  </conditionalFormatting>
  <conditionalFormatting sqref="C48">
    <cfRule type="expression" priority="543" dxfId="140" stopIfTrue="1">
      <formula>$A48="Meta"</formula>
    </cfRule>
    <cfRule type="expression" priority="544" dxfId="139" stopIfTrue="1">
      <formula>$A48&lt;&gt;"Serviço"</formula>
    </cfRule>
  </conditionalFormatting>
  <conditionalFormatting sqref="A48:B48">
    <cfRule type="expression" priority="545" dxfId="140" stopIfTrue="1">
      <formula>$A48="Meta"</formula>
    </cfRule>
    <cfRule type="expression" priority="546" dxfId="139" stopIfTrue="1">
      <formula>LEFT($A48,5)="Nível"</formula>
    </cfRule>
    <cfRule type="expression" priority="547" dxfId="138" stopIfTrue="1">
      <formula>$A48=0</formula>
    </cfRule>
  </conditionalFormatting>
  <conditionalFormatting sqref="D70:E70">
    <cfRule type="expression" priority="516" dxfId="144" stopIfTrue="1">
      <formula>$A70="Meta"</formula>
    </cfRule>
    <cfRule type="expression" priority="517" dxfId="143" stopIfTrue="1">
      <formula>$A70&lt;&gt;"Serviço"</formula>
    </cfRule>
  </conditionalFormatting>
  <conditionalFormatting sqref="C70">
    <cfRule type="expression" priority="518" dxfId="140" stopIfTrue="1">
      <formula>$A70="Meta"</formula>
    </cfRule>
    <cfRule type="expression" priority="519" dxfId="139" stopIfTrue="1">
      <formula>$A70&lt;&gt;"Serviço"</formula>
    </cfRule>
  </conditionalFormatting>
  <conditionalFormatting sqref="A70:B70">
    <cfRule type="expression" priority="520" dxfId="140" stopIfTrue="1">
      <formula>$A70="Meta"</formula>
    </cfRule>
    <cfRule type="expression" priority="521" dxfId="139" stopIfTrue="1">
      <formula>LEFT($A70,5)="Nível"</formula>
    </cfRule>
    <cfRule type="expression" priority="522" dxfId="138" stopIfTrue="1">
      <formula>$A70=0</formula>
    </cfRule>
  </conditionalFormatting>
  <conditionalFormatting sqref="D105:E105">
    <cfRule type="expression" priority="466" dxfId="144" stopIfTrue="1">
      <formula>$A105="Meta"</formula>
    </cfRule>
    <cfRule type="expression" priority="467" dxfId="143" stopIfTrue="1">
      <formula>$A105&lt;&gt;"Serviço"</formula>
    </cfRule>
  </conditionalFormatting>
  <conditionalFormatting sqref="C105">
    <cfRule type="expression" priority="468" dxfId="140" stopIfTrue="1">
      <formula>$A105="Meta"</formula>
    </cfRule>
    <cfRule type="expression" priority="469" dxfId="139" stopIfTrue="1">
      <formula>$A105&lt;&gt;"Serviço"</formula>
    </cfRule>
  </conditionalFormatting>
  <conditionalFormatting sqref="A105:B105">
    <cfRule type="expression" priority="470" dxfId="140" stopIfTrue="1">
      <formula>$A105="Meta"</formula>
    </cfRule>
    <cfRule type="expression" priority="471" dxfId="139" stopIfTrue="1">
      <formula>LEFT($A105,5)="Nível"</formula>
    </cfRule>
    <cfRule type="expression" priority="472" dxfId="138" stopIfTrue="1">
      <formula>$A105=0</formula>
    </cfRule>
  </conditionalFormatting>
  <conditionalFormatting sqref="D104:E104">
    <cfRule type="expression" priority="441" dxfId="144" stopIfTrue="1">
      <formula>$A104="Meta"</formula>
    </cfRule>
    <cfRule type="expression" priority="442" dxfId="143" stopIfTrue="1">
      <formula>$A104&lt;&gt;"Serviço"</formula>
    </cfRule>
  </conditionalFormatting>
  <conditionalFormatting sqref="C104">
    <cfRule type="expression" priority="443" dxfId="140" stopIfTrue="1">
      <formula>$A104="Meta"</formula>
    </cfRule>
    <cfRule type="expression" priority="444" dxfId="139" stopIfTrue="1">
      <formula>$A104&lt;&gt;"Serviço"</formula>
    </cfRule>
  </conditionalFormatting>
  <conditionalFormatting sqref="A104:B104">
    <cfRule type="expression" priority="445" dxfId="140" stopIfTrue="1">
      <formula>$A104="Meta"</formula>
    </cfRule>
    <cfRule type="expression" priority="446" dxfId="139" stopIfTrue="1">
      <formula>LEFT($A104,5)="Nível"</formula>
    </cfRule>
    <cfRule type="expression" priority="447" dxfId="138" stopIfTrue="1">
      <formula>$A104=0</formula>
    </cfRule>
  </conditionalFormatting>
  <conditionalFormatting sqref="D33:E33">
    <cfRule type="expression" priority="391" dxfId="144" stopIfTrue="1">
      <formula>$A33="Meta"</formula>
    </cfRule>
    <cfRule type="expression" priority="392" dxfId="143" stopIfTrue="1">
      <formula>$A33&lt;&gt;"Serviço"</formula>
    </cfRule>
  </conditionalFormatting>
  <conditionalFormatting sqref="C33">
    <cfRule type="expression" priority="393" dxfId="140" stopIfTrue="1">
      <formula>$A33="Meta"</formula>
    </cfRule>
    <cfRule type="expression" priority="394" dxfId="139" stopIfTrue="1">
      <formula>$A33&lt;&gt;"Serviço"</formula>
    </cfRule>
  </conditionalFormatting>
  <conditionalFormatting sqref="A33:B33">
    <cfRule type="expression" priority="395" dxfId="140" stopIfTrue="1">
      <formula>$A33="Meta"</formula>
    </cfRule>
    <cfRule type="expression" priority="396" dxfId="139" stopIfTrue="1">
      <formula>LEFT($A33,5)="Nível"</formula>
    </cfRule>
    <cfRule type="expression" priority="397" dxfId="138" stopIfTrue="1">
      <formula>$A33=0</formula>
    </cfRule>
  </conditionalFormatting>
  <conditionalFormatting sqref="BI33">
    <cfRule type="expression" priority="398" dxfId="144" stopIfTrue="1">
      <formula>$A33="Meta"</formula>
    </cfRule>
    <cfRule type="expression" priority="399" dxfId="138" stopIfTrue="1">
      <formula>OR(BI$9=0,$A33&lt;&gt;"Serviço")</formula>
    </cfRule>
    <cfRule type="expression" priority="400" dxfId="187" stopIfTrue="1">
      <formula>TipoOrçamento="Licitado"</formula>
    </cfRule>
  </conditionalFormatting>
  <conditionalFormatting sqref="F33:O33">
    <cfRule type="expression" priority="388" dxfId="144" stopIfTrue="1">
      <formula>$A33="Meta"</formula>
    </cfRule>
    <cfRule type="expression" priority="389" dxfId="138" stopIfTrue="1">
      <formula>OR(F$9=0,$A33&lt;&gt;"Serviço")</formula>
    </cfRule>
    <cfRule type="expression" priority="390" dxfId="187" stopIfTrue="1">
      <formula>TipoOrçamento="Licitado"</formula>
    </cfRule>
  </conditionalFormatting>
  <conditionalFormatting sqref="P33:Y33">
    <cfRule type="expression" priority="385" dxfId="144" stopIfTrue="1">
      <formula>$A33="Meta"</formula>
    </cfRule>
    <cfRule type="expression" priority="386" dxfId="138" stopIfTrue="1">
      <formula>OR(P$9=0,$A33&lt;&gt;"Serviço")</formula>
    </cfRule>
    <cfRule type="expression" priority="387" dxfId="187" stopIfTrue="1">
      <formula>TipoOrçamento="Licitado"</formula>
    </cfRule>
  </conditionalFormatting>
  <conditionalFormatting sqref="Z33:AI33">
    <cfRule type="expression" priority="382" dxfId="144" stopIfTrue="1">
      <formula>$A33="Meta"</formula>
    </cfRule>
    <cfRule type="expression" priority="383" dxfId="138" stopIfTrue="1">
      <formula>OR(Z$9=0,$A33&lt;&gt;"Serviço")</formula>
    </cfRule>
    <cfRule type="expression" priority="384" dxfId="187" stopIfTrue="1">
      <formula>TipoOrçamento="Licitado"</formula>
    </cfRule>
  </conditionalFormatting>
  <conditionalFormatting sqref="AJ33:AS33">
    <cfRule type="expression" priority="379" dxfId="144" stopIfTrue="1">
      <formula>$A33="Meta"</formula>
    </cfRule>
    <cfRule type="expression" priority="380" dxfId="138" stopIfTrue="1">
      <formula>OR(AJ$9=0,$A33&lt;&gt;"Serviço")</formula>
    </cfRule>
    <cfRule type="expression" priority="381" dxfId="187" stopIfTrue="1">
      <formula>TipoOrçamento="Licitado"</formula>
    </cfRule>
  </conditionalFormatting>
  <conditionalFormatting sqref="AT33:BC33">
    <cfRule type="expression" priority="376" dxfId="144" stopIfTrue="1">
      <formula>$A33="Meta"</formula>
    </cfRule>
    <cfRule type="expression" priority="377" dxfId="138" stopIfTrue="1">
      <formula>OR(AT$9=0,$A33&lt;&gt;"Serviço")</formula>
    </cfRule>
    <cfRule type="expression" priority="378" dxfId="187" stopIfTrue="1">
      <formula>TipoOrçamento="Licitado"</formula>
    </cfRule>
  </conditionalFormatting>
  <conditionalFormatting sqref="D133:E133">
    <cfRule type="expression" priority="316" dxfId="144" stopIfTrue="1">
      <formula>$A133="Meta"</formula>
    </cfRule>
    <cfRule type="expression" priority="317" dxfId="143" stopIfTrue="1">
      <formula>$A133&lt;&gt;"Serviço"</formula>
    </cfRule>
  </conditionalFormatting>
  <conditionalFormatting sqref="C133">
    <cfRule type="expression" priority="318" dxfId="140" stopIfTrue="1">
      <formula>$A133="Meta"</formula>
    </cfRule>
    <cfRule type="expression" priority="319" dxfId="139" stopIfTrue="1">
      <formula>$A133&lt;&gt;"Serviço"</formula>
    </cfRule>
  </conditionalFormatting>
  <conditionalFormatting sqref="A133:B133">
    <cfRule type="expression" priority="320" dxfId="140" stopIfTrue="1">
      <formula>$A133="Meta"</formula>
    </cfRule>
    <cfRule type="expression" priority="321" dxfId="139" stopIfTrue="1">
      <formula>LEFT($A133,5)="Nível"</formula>
    </cfRule>
    <cfRule type="expression" priority="322" dxfId="138" stopIfTrue="1">
      <formula>$A133=0</formula>
    </cfRule>
  </conditionalFormatting>
  <conditionalFormatting sqref="D51:E51">
    <cfRule type="expression" priority="291" dxfId="144" stopIfTrue="1">
      <formula>$A51="Meta"</formula>
    </cfRule>
    <cfRule type="expression" priority="292" dxfId="143" stopIfTrue="1">
      <formula>$A51&lt;&gt;"Serviço"</formula>
    </cfRule>
  </conditionalFormatting>
  <conditionalFormatting sqref="C51">
    <cfRule type="expression" priority="293" dxfId="140" stopIfTrue="1">
      <formula>$A51="Meta"</formula>
    </cfRule>
    <cfRule type="expression" priority="294" dxfId="139" stopIfTrue="1">
      <formula>$A51&lt;&gt;"Serviço"</formula>
    </cfRule>
  </conditionalFormatting>
  <conditionalFormatting sqref="A51:B51">
    <cfRule type="expression" priority="295" dxfId="140" stopIfTrue="1">
      <formula>$A51="Meta"</formula>
    </cfRule>
    <cfRule type="expression" priority="296" dxfId="139" stopIfTrue="1">
      <formula>LEFT($A51,5)="Nível"</formula>
    </cfRule>
    <cfRule type="expression" priority="297" dxfId="138" stopIfTrue="1">
      <formula>$A51=0</formula>
    </cfRule>
  </conditionalFormatting>
  <conditionalFormatting sqref="D61:E61">
    <cfRule type="expression" priority="241" dxfId="144" stopIfTrue="1">
      <formula>$A61="Meta"</formula>
    </cfRule>
    <cfRule type="expression" priority="242" dxfId="143" stopIfTrue="1">
      <formula>$A61&lt;&gt;"Serviço"</formula>
    </cfRule>
  </conditionalFormatting>
  <conditionalFormatting sqref="C61">
    <cfRule type="expression" priority="243" dxfId="140" stopIfTrue="1">
      <formula>$A61="Meta"</formula>
    </cfRule>
    <cfRule type="expression" priority="244" dxfId="139" stopIfTrue="1">
      <formula>$A61&lt;&gt;"Serviço"</formula>
    </cfRule>
  </conditionalFormatting>
  <conditionalFormatting sqref="A61:B61">
    <cfRule type="expression" priority="245" dxfId="140" stopIfTrue="1">
      <formula>$A61="Meta"</formula>
    </cfRule>
    <cfRule type="expression" priority="246" dxfId="139" stopIfTrue="1">
      <formula>LEFT($A61,5)="Nível"</formula>
    </cfRule>
    <cfRule type="expression" priority="247" dxfId="138" stopIfTrue="1">
      <formula>$A61=0</formula>
    </cfRule>
  </conditionalFormatting>
  <conditionalFormatting sqref="D71:E71">
    <cfRule type="expression" priority="216" dxfId="144" stopIfTrue="1">
      <formula>$A71="Meta"</formula>
    </cfRule>
    <cfRule type="expression" priority="217" dxfId="143" stopIfTrue="1">
      <formula>$A71&lt;&gt;"Serviço"</formula>
    </cfRule>
  </conditionalFormatting>
  <conditionalFormatting sqref="C71">
    <cfRule type="expression" priority="218" dxfId="140" stopIfTrue="1">
      <formula>$A71="Meta"</formula>
    </cfRule>
    <cfRule type="expression" priority="219" dxfId="139" stopIfTrue="1">
      <formula>$A71&lt;&gt;"Serviço"</formula>
    </cfRule>
  </conditionalFormatting>
  <conditionalFormatting sqref="A71:B71">
    <cfRule type="expression" priority="220" dxfId="140" stopIfTrue="1">
      <formula>$A71="Meta"</formula>
    </cfRule>
    <cfRule type="expression" priority="221" dxfId="139" stopIfTrue="1">
      <formula>LEFT($A71,5)="Nível"</formula>
    </cfRule>
    <cfRule type="expression" priority="222" dxfId="138" stopIfTrue="1">
      <formula>$A71=0</formula>
    </cfRule>
  </conditionalFormatting>
  <conditionalFormatting sqref="D109:E109">
    <cfRule type="expression" priority="191" dxfId="144" stopIfTrue="1">
      <formula>$A109="Meta"</formula>
    </cfRule>
    <cfRule type="expression" priority="192" dxfId="143" stopIfTrue="1">
      <formula>$A109&lt;&gt;"Serviço"</formula>
    </cfRule>
  </conditionalFormatting>
  <conditionalFormatting sqref="C109">
    <cfRule type="expression" priority="193" dxfId="140" stopIfTrue="1">
      <formula>$A109="Meta"</formula>
    </cfRule>
    <cfRule type="expression" priority="194" dxfId="139" stopIfTrue="1">
      <formula>$A109&lt;&gt;"Serviço"</formula>
    </cfRule>
  </conditionalFormatting>
  <conditionalFormatting sqref="A109:B109">
    <cfRule type="expression" priority="195" dxfId="140" stopIfTrue="1">
      <formula>$A109="Meta"</formula>
    </cfRule>
    <cfRule type="expression" priority="196" dxfId="139" stopIfTrue="1">
      <formula>LEFT($A109,5)="Nível"</formula>
    </cfRule>
    <cfRule type="expression" priority="197" dxfId="138" stopIfTrue="1">
      <formula>$A109=0</formula>
    </cfRule>
  </conditionalFormatting>
  <conditionalFormatting sqref="D110:E110">
    <cfRule type="expression" priority="166" dxfId="144" stopIfTrue="1">
      <formula>$A110="Meta"</formula>
    </cfRule>
    <cfRule type="expression" priority="167" dxfId="143" stopIfTrue="1">
      <formula>$A110&lt;&gt;"Serviço"</formula>
    </cfRule>
  </conditionalFormatting>
  <conditionalFormatting sqref="C110">
    <cfRule type="expression" priority="168" dxfId="140" stopIfTrue="1">
      <formula>$A110="Meta"</formula>
    </cfRule>
    <cfRule type="expression" priority="169" dxfId="139" stopIfTrue="1">
      <formula>$A110&lt;&gt;"Serviço"</formula>
    </cfRule>
  </conditionalFormatting>
  <conditionalFormatting sqref="A110:B110">
    <cfRule type="expression" priority="170" dxfId="140" stopIfTrue="1">
      <formula>$A110="Meta"</formula>
    </cfRule>
    <cfRule type="expression" priority="171" dxfId="139" stopIfTrue="1">
      <formula>LEFT($A110,5)="Nível"</formula>
    </cfRule>
    <cfRule type="expression" priority="172" dxfId="138" stopIfTrue="1">
      <formula>$A110=0</formula>
    </cfRule>
  </conditionalFormatting>
  <conditionalFormatting sqref="D122:E126">
    <cfRule type="expression" priority="91" dxfId="144" stopIfTrue="1">
      <formula>$A122="Meta"</formula>
    </cfRule>
    <cfRule type="expression" priority="92" dxfId="143" stopIfTrue="1">
      <formula>$A122&lt;&gt;"Serviço"</formula>
    </cfRule>
  </conditionalFormatting>
  <conditionalFormatting sqref="C122:C126">
    <cfRule type="expression" priority="93" dxfId="140" stopIfTrue="1">
      <formula>$A122="Meta"</formula>
    </cfRule>
    <cfRule type="expression" priority="94" dxfId="139" stopIfTrue="1">
      <formula>$A122&lt;&gt;"Serviço"</formula>
    </cfRule>
  </conditionalFormatting>
  <conditionalFormatting sqref="A122:B126">
    <cfRule type="expression" priority="95" dxfId="140" stopIfTrue="1">
      <formula>$A122="Meta"</formula>
    </cfRule>
    <cfRule type="expression" priority="96" dxfId="139" stopIfTrue="1">
      <formula>LEFT($A122,5)="Nível"</formula>
    </cfRule>
    <cfRule type="expression" priority="97" dxfId="138" stopIfTrue="1">
      <formula>$A122=0</formula>
    </cfRule>
  </conditionalFormatting>
  <dataValidations count="1">
    <dataValidation type="decimal" operator="greaterThanOrEqual" allowBlank="1" showInputMessage="1" showErrorMessage="1" error="Digite apenas números._x000a__x000a_preferencialmente com 02 casas de precisão." sqref="BI11 F11:BC11 F14:BC133 BI14:BI133">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v007   micro&amp;R&amp;P</oddFooter>
  </headerFooter>
  <ignoredErrors>
    <ignoredError sqref="B139 B136" unlockedFormula="1"/>
    <ignoredError sqref="A12 C12" formula="1"/>
  </ignoredErrors>
  <drawing r:id="rId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FFFF00"/>
    <outlinePr summaryBelow="0"/>
  </sheetPr>
  <dimension ref="A1:AC94"/>
  <sheetViews>
    <sheetView showGridLines="0" zoomScaleSheetLayoutView="100" workbookViewId="0" topLeftCell="L91">
      <selection activeCell="U52" sqref="U52"/>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95"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9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9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9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93" t="str">
        <f ca="1">IF(MAX($A$14:$A$85)&lt;&gt;MAX(PO!$V$12:$V$134),"ERRO: CRONOGRAMA DESATUALIZADO",IF(OR(COUNTIF($O$16:$X$16,"&gt;1")&gt;0,OFFSET($X$17,0,-1)&lt;&gt;$N$14),"ERRO: CRONOGRAMA NÃO FECHA EM 100%",""))</f>
        <v>ERRO: CRONOGRAMA NÃO FECHA EM 100%</v>
      </c>
      <c r="M8" s="393"/>
      <c r="N8" s="160" t="str">
        <f>IF(TipoOrçamento="REPROGRAMADOAC","Qtde de Medições realizadas","")</f>
        <v/>
      </c>
      <c r="O8" s="178"/>
      <c r="P8" s="179"/>
      <c r="Q8" s="1"/>
      <c r="R8" s="1"/>
      <c r="S8" s="1"/>
      <c r="T8" s="1"/>
      <c r="U8" s="1"/>
      <c r="V8" s="1"/>
      <c r="W8" s="1"/>
      <c r="X8" s="1"/>
      <c r="AC8" s="1"/>
    </row>
    <row r="9" spans="1:29" s="41" customFormat="1" ht="14.1"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10/01/24</v>
      </c>
      <c r="P10" s="219" t="str">
        <f ca="1">IF(AND(TipoOrçamento="REPROGRAMADOAC",$N$9&gt;0,N10="Valores Totais (R$)"),"Parcela "&amp;$N$9&amp;" Executado","Parcela "&amp;P$9&amp;CHAR(10)&amp;TEXT(DATE(YEAR(DADOS!$A$48),MONTH(DADOS!$A$48)+P$9-IF(AND(TipoOrçamento="REPROGRAMADOAC",$N$9&gt;0),$N$9,0),1),"mmm/aa"))</f>
        <v>Parcela 1
fev/24</v>
      </c>
      <c r="Q10" s="210" t="str">
        <f ca="1">IF(AND(TipoOrçamento="REPROGRAMADOAC",$N$9&gt;0,O10="Valores Totais (R$)"),"Parcela "&amp;$N$9&amp;" Executado","Parcela "&amp;Q$9&amp;CHAR(10)&amp;TEXT(DATE(YEAR(DADOS!$A$48),MONTH(DADOS!$A$48)+Q$9-IF(AND(TipoOrçamento="REPROGRAMADOAC",$N$9&gt;0),$N$9,0),1),"mmm/aa"))</f>
        <v>Parcela 2
mar/24</v>
      </c>
      <c r="R10" s="210" t="str">
        <f ca="1">IF(AND(TipoOrçamento="REPROGRAMADOAC",$N$9&gt;0,P10="Valores Totais (R$)"),"Parcela "&amp;$N$9&amp;" Executado","Parcela "&amp;R$9&amp;CHAR(10)&amp;TEXT(DATE(YEAR(DADOS!$A$48),MONTH(DADOS!$A$48)+R$9-IF(AND(TipoOrçamento="REPROGRAMADOAC",$N$9&gt;0),$N$9,0),1),"mmm/aa"))</f>
        <v>Parcela 3
abr/24</v>
      </c>
      <c r="S10" s="210" t="str">
        <f ca="1">IF(AND(TipoOrçamento="REPROGRAMADOAC",$N$9&gt;0,Q10="Valores Totais (R$)"),"Parcela "&amp;$N$9&amp;" Executado","Parcela "&amp;S$9&amp;CHAR(10)&amp;TEXT(DATE(YEAR(DADOS!$A$48),MONTH(DADOS!$A$48)+S$9-IF(AND(TipoOrçamento="REPROGRAMADOAC",$N$9&gt;0),$N$9,0),1),"mmm/aa"))</f>
        <v>Parcela 4
mai/24</v>
      </c>
      <c r="T10" s="210" t="str">
        <f ca="1">IF(AND(TipoOrçamento="REPROGRAMADOAC",$N$9&gt;0,R10="Valores Totais (R$)"),"Parcela "&amp;$N$9&amp;" Executado","Parcela "&amp;T$9&amp;CHAR(10)&amp;TEXT(DATE(YEAR(DADOS!$A$48),MONTH(DADOS!$A$48)+T$9-IF(AND(TipoOrçamento="REPROGRAMADOAC",$N$9&gt;0),$N$9,0),1),"mmm/aa"))</f>
        <v>Parcela 5
jun/24</v>
      </c>
      <c r="U10" s="210" t="str">
        <f ca="1">IF(AND(TipoOrçamento="REPROGRAMADOAC",$N$9&gt;0,S10="Valores Totais (R$)"),"Parcela "&amp;$N$9&amp;" Executado","Parcela "&amp;U$9&amp;CHAR(10)&amp;TEXT(DATE(YEAR(DADOS!$A$48),MONTH(DADOS!$A$48)+U$9-IF(AND(TipoOrçamento="REPROGRAMADOAC",$N$9&gt;0),$N$9,0),1),"mmm/aa"))</f>
        <v>Parcela 6
jul/24</v>
      </c>
      <c r="V10" s="210" t="str">
        <f ca="1">IF(AND(TipoOrçamento="REPROGRAMADOAC",$N$9&gt;0,T10="Valores Totais (R$)"),"Parcela "&amp;$N$9&amp;" Executado","Parcela "&amp;V$9&amp;CHAR(10)&amp;TEXT(DATE(YEAR(DADOS!$A$48),MONTH(DADOS!$A$48)+V$9-IF(AND(TipoOrçamento="REPROGRAMADOAC",$N$9&gt;0),$N$9,0),1),"mmm/aa"))</f>
        <v>Parcela 7
ago/24</v>
      </c>
      <c r="W10" s="222" t="str">
        <f ca="1">IF(AND(TipoOrçamento="REPROGRAMADOAC",$N$9&gt;0,U10="Valores Totais (R$)"),"Parcela "&amp;$N$9&amp;" Executado","Parcela "&amp;W$9&amp;CHAR(10)&amp;TEXT(DATE(YEAR(DADOS!$A$48),MONTH(DADOS!$A$48)+W$9-IF(AND(TipoOrçamento="REPROGRAMADOAC",$N$9&gt;0),$N$9,0),1),"mmm/aa"))</f>
        <v>Parcela 8
set/24</v>
      </c>
      <c r="X10" s="195"/>
      <c r="AC10" s="210" t="str">
        <f ca="1">IF(AND(TipoOrçamento="REPROGRAMADOAC",$N$9&gt;0,AA10="Valores Totais (R$)"),"Parcela "&amp;$N$9&amp;" Executado","Parcela "&amp;AC$9&amp;CHAR(10)&amp;TEXT(DATE(YEAR(DADOS!$A$48),MONTH(DADOS!$A$48)+AC$9-IF(AND(TipoOrçamento="REPROGRAMADOAC",$N$9&gt;0),$N$9,0),1),"mmm/aa"))</f>
        <v>Parcela 1
fev/24</v>
      </c>
    </row>
    <row r="11" spans="1:29" ht="14.25" customHeight="1" hidden="1">
      <c r="A11" s="82"/>
      <c r="B11" s="82"/>
      <c r="C11" s="82"/>
      <c r="D11" s="82"/>
      <c r="E11" s="82"/>
      <c r="F11" s="82"/>
      <c r="G11" s="82"/>
      <c r="H11" s="82"/>
      <c r="I11" s="82"/>
      <c r="J11" s="82"/>
      <c r="K11" s="82"/>
      <c r="L11" s="373" t="e">
        <f ca="1">INDEX(PO!K$12:K$134,MATCH($A13,PO!$V$12:$V$134,0))</f>
        <v>#VALUE!</v>
      </c>
      <c r="M11" s="375" t="e">
        <f ca="1">INDEX(PO!N$12:N$134,MATCH($A13,PO!$V$12:$V$134,0))</f>
        <v>#VALUE!</v>
      </c>
      <c r="N11" s="377" t="e">
        <f ca="1">IF(ROUND(K13,2)=0,K13,ROUND(K13,2))</f>
        <v>#VALUE!</v>
      </c>
      <c r="O11" s="220" t="s">
        <v>143</v>
      </c>
      <c r="P11" s="226" t="e">
        <f ca="1">IF($B13,0,P12-IF(ISNUMBER(O12),O12,0))</f>
        <v>#VALUE!</v>
      </c>
      <c r="Q11" s="227" t="e">
        <f aca="true" t="shared" si="1" ref="Q11:W11">IF($B13,0,Q12-IF(ISNUMBER(P12),P12,0))</f>
        <v>#VALUE!</v>
      </c>
      <c r="R11" s="227" t="e">
        <f ca="1" t="shared" si="1"/>
        <v>#VALUE!</v>
      </c>
      <c r="S11" s="227" t="e">
        <f ca="1" t="shared" si="1"/>
        <v>#VALUE!</v>
      </c>
      <c r="T11" s="227" t="e">
        <f ca="1" t="shared" si="1"/>
        <v>#VALUE!</v>
      </c>
      <c r="U11" s="227" t="e">
        <f ca="1" t="shared" si="1"/>
        <v>#VALUE!</v>
      </c>
      <c r="V11" s="227" t="e">
        <f ca="1" t="shared" si="1"/>
        <v>#VALUE!</v>
      </c>
      <c r="W11" s="228" t="e">
        <f ca="1" t="shared" si="1"/>
        <v>#VALUE!</v>
      </c>
      <c r="X11" s="196"/>
      <c r="AC11" s="221" t="e">
        <f ca="1">IF($B13,0,AC12-IF(ISNUMBER(AB12),AB12,0))</f>
        <v>#VALUE!</v>
      </c>
    </row>
    <row r="12" spans="1:29" ht="14.25" hidden="1">
      <c r="A12" s="184"/>
      <c r="B12" s="184"/>
      <c r="C12" s="184"/>
      <c r="D12" s="184"/>
      <c r="E12" s="184"/>
      <c r="F12" s="184"/>
      <c r="G12" s="184"/>
      <c r="H12" s="184"/>
      <c r="I12" s="184"/>
      <c r="J12" s="184"/>
      <c r="K12" s="184"/>
      <c r="L12" s="374"/>
      <c r="M12" s="376"/>
      <c r="N12" s="378"/>
      <c r="O12" s="170" t="s">
        <v>145</v>
      </c>
      <c r="P12" s="198" t="e">
        <f ca="1">MIN(IF($B13,P11+IF(ISNUMBER(O12),O12,0),P13/$N11),1)</f>
        <v>#VALUE!</v>
      </c>
      <c r="Q12" s="168" t="e">
        <f aca="true" t="shared" si="2" ref="Q12:W12">MIN(IF($B13,Q11+IF(ISNUMBER(P12),P12,0),Q13/$N11),1)</f>
        <v>#VALUE!</v>
      </c>
      <c r="R12" s="168" t="e">
        <f ca="1" t="shared" si="2"/>
        <v>#VALUE!</v>
      </c>
      <c r="S12" s="168" t="e">
        <f ca="1" t="shared" si="2"/>
        <v>#VALUE!</v>
      </c>
      <c r="T12" s="168" t="e">
        <f ca="1" t="shared" si="2"/>
        <v>#VALUE!</v>
      </c>
      <c r="U12" s="168" t="e">
        <f ca="1" t="shared" si="2"/>
        <v>#VALUE!</v>
      </c>
      <c r="V12" s="168" t="e">
        <f ca="1" t="shared" si="2"/>
        <v>#VALUE!</v>
      </c>
      <c r="W12" s="168" t="e">
        <f ca="1" t="shared" si="2"/>
        <v>#VALUE!</v>
      </c>
      <c r="X12" s="196"/>
      <c r="AC12" s="168" t="e">
        <f ca="1">MIN(IF($B13,AC11+IF(ISNUMBER(AB12),AB12,0),AC13/$N11),1)</f>
        <v>#VALUE!</v>
      </c>
    </row>
    <row r="13" spans="1:29" ht="14.25" hidden="1">
      <c r="A13" s="184" t="e">
        <f ca="1">OFFSET(A13,-CFF.NumLinha,0)+1</f>
        <v>#VALUE!</v>
      </c>
      <c r="B13" s="184" t="e">
        <f ca="1">$C13&gt;=OFFSET($C13,CFF.NumLinha,0)</f>
        <v>#VALUE!</v>
      </c>
      <c r="C13" s="184" t="e">
        <f ca="1">INDEX(PO!A$12:A$134,MATCH($A13,PO!$V$12:$V$134,0))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MATCH(0,OFFSET($D13,1,$C13,ROW($A$84)-ROW($A13)),0)</f>
        <v>#VALUE!</v>
      </c>
      <c r="J13" s="184" t="e">
        <f ca="1">MATCH(OFFSET($D13,0,$C13)+1,OFFSET($D13,1,$C13,ROW($A$84)-ROW($A13)),0)</f>
        <v>#VALUE!</v>
      </c>
      <c r="K13" s="185" t="e">
        <f ca="1">ROUND(INDEX(PO!T$12:T$134,MATCH($A13,PO!$V$12:$V$134,0)),2)+10^-12</f>
        <v>#VALUE!</v>
      </c>
      <c r="L13" s="374"/>
      <c r="M13" s="376"/>
      <c r="N13" s="378"/>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4" t="s">
        <v>19</v>
      </c>
      <c r="M14" s="385"/>
      <c r="N14" s="390">
        <f ca="1">IF(PO!$T$12=0,10^-12,PO!$T$12)</f>
        <v>1E-12</v>
      </c>
      <c r="O14" s="167" t="s">
        <v>143</v>
      </c>
      <c r="P14" s="205">
        <f ca="1">ROUND(P15/$N14,4)</f>
        <v>0</v>
      </c>
      <c r="Q14" s="206">
        <f aca="true" t="shared" si="4" ref="Q14:W14">ROUND(Q15/$N14,4)</f>
        <v>0</v>
      </c>
      <c r="R14" s="206">
        <f ca="1" t="shared" si="4"/>
        <v>0</v>
      </c>
      <c r="S14" s="206">
        <f ca="1" t="shared" si="4"/>
        <v>0</v>
      </c>
      <c r="T14" s="206">
        <f ca="1" t="shared" si="4"/>
        <v>0</v>
      </c>
      <c r="U14" s="206">
        <f ca="1" t="shared" si="4"/>
        <v>0</v>
      </c>
      <c r="V14" s="206">
        <f ca="1" t="shared" si="4"/>
        <v>0</v>
      </c>
      <c r="W14" s="206">
        <f ca="1" t="shared" si="4"/>
        <v>0</v>
      </c>
      <c r="X14" s="171"/>
      <c r="AC14" s="206">
        <f ca="1">ROUND(AC15/$N14,4)</f>
        <v>0</v>
      </c>
    </row>
    <row r="15" spans="1:29" s="44" customFormat="1" ht="12.75" customHeight="1">
      <c r="A15" s="1"/>
      <c r="B15" s="1"/>
      <c r="C15" s="1"/>
      <c r="D15" s="1"/>
      <c r="E15" s="1"/>
      <c r="F15" s="1"/>
      <c r="G15" s="1"/>
      <c r="H15" s="1"/>
      <c r="I15" s="1"/>
      <c r="J15" s="1"/>
      <c r="K15" s="1"/>
      <c r="L15" s="386"/>
      <c r="M15" s="387"/>
      <c r="N15" s="391"/>
      <c r="O15" s="156" t="s">
        <v>144</v>
      </c>
      <c r="P15" s="200">
        <f ca="1">P17-IF(ISNUMBER(O17),O17,0)</f>
        <v>0</v>
      </c>
      <c r="Q15" s="150">
        <f aca="true" t="shared" si="5" ref="Q15:W15">Q17-IF(ISNUMBER(P17),P17,0)</f>
        <v>0</v>
      </c>
      <c r="R15" s="150">
        <f ca="1" t="shared" si="5"/>
        <v>0</v>
      </c>
      <c r="S15" s="150">
        <f ca="1" t="shared" si="5"/>
        <v>0</v>
      </c>
      <c r="T15" s="150">
        <f ca="1" t="shared" si="5"/>
        <v>0</v>
      </c>
      <c r="U15" s="150">
        <f ca="1" t="shared" si="5"/>
        <v>0</v>
      </c>
      <c r="V15" s="150">
        <f ca="1" t="shared" si="5"/>
        <v>0</v>
      </c>
      <c r="W15" s="150">
        <f ca="1" t="shared" si="5"/>
        <v>0</v>
      </c>
      <c r="X15" s="171"/>
      <c r="AC15" s="150">
        <f ca="1">AC17-IF(ISNUMBER(AB17),AB17,0)</f>
        <v>0</v>
      </c>
    </row>
    <row r="16" spans="1:29" s="44" customFormat="1" ht="12.75" customHeight="1">
      <c r="A16" s="1"/>
      <c r="B16" s="1"/>
      <c r="C16" s="1"/>
      <c r="D16" s="1"/>
      <c r="E16" s="1"/>
      <c r="F16" s="1"/>
      <c r="G16" s="1"/>
      <c r="H16" s="1"/>
      <c r="I16" s="1"/>
      <c r="J16" s="1"/>
      <c r="K16" s="1"/>
      <c r="L16" s="386"/>
      <c r="M16" s="387"/>
      <c r="N16" s="391"/>
      <c r="O16" s="157" t="s">
        <v>145</v>
      </c>
      <c r="P16" s="201">
        <f ca="1">ROUND(P17/$N14,4)</f>
        <v>0</v>
      </c>
      <c r="Q16" s="151">
        <f aca="true" t="shared" si="6" ref="Q16:W16">ROUND(Q17/$N14,4)</f>
        <v>0</v>
      </c>
      <c r="R16" s="151">
        <f ca="1" t="shared" si="6"/>
        <v>0</v>
      </c>
      <c r="S16" s="151">
        <f ca="1" t="shared" si="6"/>
        <v>0</v>
      </c>
      <c r="T16" s="151">
        <f ca="1" t="shared" si="6"/>
        <v>0</v>
      </c>
      <c r="U16" s="151">
        <f ca="1" t="shared" si="6"/>
        <v>0</v>
      </c>
      <c r="V16" s="151">
        <f ca="1" t="shared" si="6"/>
        <v>0</v>
      </c>
      <c r="W16" s="151">
        <f ca="1" t="shared" si="6"/>
        <v>0</v>
      </c>
      <c r="X16" s="171"/>
      <c r="AC16" s="151">
        <f ca="1">ROUND(AC17/$N14,4)</f>
        <v>0</v>
      </c>
    </row>
    <row r="17" spans="1:29" s="44" customFormat="1" ht="12.75" customHeight="1">
      <c r="A17" s="114">
        <v>0</v>
      </c>
      <c r="B17" s="1"/>
      <c r="C17" s="1"/>
      <c r="D17" s="114">
        <f>ROW(D$84)-ROW(D18)</f>
        <v>66</v>
      </c>
      <c r="E17" s="1"/>
      <c r="F17" s="1"/>
      <c r="G17" s="1"/>
      <c r="H17" s="1"/>
      <c r="I17" s="1"/>
      <c r="J17" s="1"/>
      <c r="K17" s="1"/>
      <c r="L17" s="388"/>
      <c r="M17" s="389"/>
      <c r="N17" s="392"/>
      <c r="O17" s="158" t="s">
        <v>20</v>
      </c>
      <c r="P17" s="202">
        <f ca="1">SUMIF(OFFSET($C17,1,0):$C$84,1,OFFSET(P17,1,0):P$84)</f>
        <v>0</v>
      </c>
      <c r="Q17" s="152">
        <f ca="1">SUMIF(OFFSET($C17,1,0):$C$84,1,OFFSET(Q17,1,0):Q$84)</f>
        <v>0</v>
      </c>
      <c r="R17" s="152">
        <f ca="1">SUMIF(OFFSET($C17,1,0):$C$84,1,OFFSET(R17,1,0):R$84)</f>
        <v>0</v>
      </c>
      <c r="S17" s="152">
        <f ca="1">SUMIF(OFFSET($C17,1,0):$C$84,1,OFFSET(S17,1,0):S$84)</f>
        <v>0</v>
      </c>
      <c r="T17" s="152">
        <f ca="1">SUMIF(OFFSET($C17,1,0):$C$84,1,OFFSET(T17,1,0):T$84)</f>
        <v>0</v>
      </c>
      <c r="U17" s="152">
        <f ca="1">SUMIF(OFFSET($C17,1,0):$C$84,1,OFFSET(U17,1,0):U$84)</f>
        <v>0</v>
      </c>
      <c r="V17" s="152">
        <f ca="1">SUMIF(OFFSET($C17,1,0):$C$84,1,OFFSET(V17,1,0):V$84)</f>
        <v>0</v>
      </c>
      <c r="W17" s="152">
        <f ca="1">SUMIF(OFFSET($C17,1,0):$C$84,1,OFFSET(W17,1,0):W$84)</f>
        <v>0</v>
      </c>
      <c r="X17" s="171"/>
      <c r="AC17" s="152">
        <f ca="1">SUMIF(OFFSET($C17,1,0):$C$84,1,OFFSET(AC17,1,0):AC$84)</f>
        <v>0</v>
      </c>
    </row>
    <row r="18" spans="1:29" ht="14.25" customHeight="1">
      <c r="A18" s="1"/>
      <c r="B18" s="1"/>
      <c r="C18" s="1"/>
      <c r="D18" s="1"/>
      <c r="E18" s="1"/>
      <c r="F18" s="1"/>
      <c r="G18" s="1"/>
      <c r="H18" s="1"/>
      <c r="I18" s="1"/>
      <c r="J18" s="1"/>
      <c r="K18" s="1"/>
      <c r="L18" s="373" t="str">
        <f ca="1">INDEX(PO!K$12:K$134,MATCH($A20,PO!$V$12:$V$134,0))</f>
        <v>1.</v>
      </c>
      <c r="M18" s="375" t="str">
        <f ca="1">INDEX(PO!N$12:N$134,MATCH($A20,PO!$V$12:$V$134,0))</f>
        <v>SERVIÇOS PRELIMINARES</v>
      </c>
      <c r="N18" s="377">
        <f ca="1">IF(ROUND(K20,2)=0,K20,ROUND(K20,2))</f>
        <v>1E-12</v>
      </c>
      <c r="O18" s="203" t="s">
        <v>143</v>
      </c>
      <c r="P18" s="226">
        <v>1</v>
      </c>
      <c r="Q18" s="227">
        <f aca="true" t="shared" si="7" ref="Q18:W18">IF($B20,0,Q19-IF(ISNUMBER(P19),P19,0))</f>
        <v>0</v>
      </c>
      <c r="R18" s="227">
        <f ca="1" t="shared" si="7"/>
        <v>0</v>
      </c>
      <c r="S18" s="227">
        <f ca="1" t="shared" si="7"/>
        <v>0</v>
      </c>
      <c r="T18" s="227">
        <f ca="1" t="shared" si="7"/>
        <v>0</v>
      </c>
      <c r="U18" s="227">
        <f ca="1" t="shared" si="7"/>
        <v>0</v>
      </c>
      <c r="V18" s="227">
        <f ca="1" t="shared" si="7"/>
        <v>0</v>
      </c>
      <c r="W18" s="228">
        <f ca="1" t="shared" si="7"/>
        <v>0</v>
      </c>
      <c r="X18" s="197" t="s">
        <v>106</v>
      </c>
      <c r="AC18" s="221">
        <f ca="1">IF($B20,0,AC19-IF(ISNUMBER(AB19),AB19,0))</f>
        <v>0</v>
      </c>
    </row>
    <row r="19" spans="1:29" ht="14.25">
      <c r="A19" s="1"/>
      <c r="B19" s="1"/>
      <c r="C19" s="1"/>
      <c r="D19" s="1"/>
      <c r="E19" s="1"/>
      <c r="F19" s="1"/>
      <c r="G19" s="1"/>
      <c r="H19" s="1"/>
      <c r="I19" s="1"/>
      <c r="J19" s="1"/>
      <c r="K19" s="1"/>
      <c r="L19" s="374"/>
      <c r="M19" s="376"/>
      <c r="N19" s="378"/>
      <c r="O19" s="170" t="s">
        <v>145</v>
      </c>
      <c r="P19" s="198">
        <f aca="true" t="shared" si="8" ref="P19:W19">MIN(IF($B20,P18+IF(ISNUMBER(O19),O19,0),P20/$N18),1)</f>
        <v>1</v>
      </c>
      <c r="Q19" s="168">
        <f ca="1" t="shared" si="8"/>
        <v>1</v>
      </c>
      <c r="R19" s="168">
        <f ca="1" t="shared" si="8"/>
        <v>1</v>
      </c>
      <c r="S19" s="168">
        <f ca="1" t="shared" si="8"/>
        <v>1</v>
      </c>
      <c r="T19" s="168">
        <f ca="1" t="shared" si="8"/>
        <v>1</v>
      </c>
      <c r="U19" s="168">
        <f ca="1" t="shared" si="8"/>
        <v>1</v>
      </c>
      <c r="V19" s="168">
        <f ca="1" t="shared" si="8"/>
        <v>1</v>
      </c>
      <c r="W19" s="168">
        <f ca="1" t="shared" si="8"/>
        <v>1</v>
      </c>
      <c r="X19" s="196"/>
      <c r="AC19" s="168">
        <f ca="1">MIN(IF($B20,AC18+IF(ISNUMBER(AB19),AB19,0),AC20/$N18),1)</f>
        <v>0</v>
      </c>
    </row>
    <row r="20" spans="1:29" ht="14.25">
      <c r="A20" s="114">
        <f ca="1">OFFSET(A20,-CFF.NumLinha,0)+1</f>
        <v>1</v>
      </c>
      <c r="B20" s="1" t="b">
        <f ca="1">$C20&gt;=OFFSET($C20,CFF.NumLinha,0)</f>
        <v>1</v>
      </c>
      <c r="C20" s="184">
        <f ca="1">INDEX(PO!A$12:A$134,MATCH($A20,PO!$V$12:$V$134,0))</f>
        <v>1</v>
      </c>
      <c r="D20" s="184">
        <f ca="1">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MATCH(0,OFFSET($D20,1,$C20,ROW($A$84)-ROW($A20)),0)</f>
        <v>64</v>
      </c>
      <c r="J20" s="184">
        <f ca="1">MATCH(OFFSET($D20,0,$C20)+1,OFFSET($D20,1,$C20,ROW($A$84)-ROW($A20)),0)</f>
        <v>3</v>
      </c>
      <c r="K20" s="185">
        <f ca="1">ROUND(INDEX(PO!T$12:T$134,MATCH($A20,PO!$V$12:$V$134,0)),2)+10^-12</f>
        <v>1E-12</v>
      </c>
      <c r="L20" s="374"/>
      <c r="M20" s="376"/>
      <c r="N20" s="378"/>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3" t="str">
        <f ca="1">INDEX(PO!K$12:K$134,MATCH($A23,PO!$V$12:$V$134,0))</f>
        <v>2.</v>
      </c>
      <c r="M21" s="375" t="str">
        <f ca="1">INDEX(PO!N$12:N$134,MATCH($A23,PO!$V$12:$V$134,0))</f>
        <v xml:space="preserve"> EXECUÇÃO DA ESTRUTURA EM CONCRETO ARMADO</v>
      </c>
      <c r="N21" s="377">
        <f ca="1">IF(ROUND(K23,2)=0,K23,ROUND(K23,2))</f>
        <v>1E-12</v>
      </c>
      <c r="O21" s="220" t="s">
        <v>143</v>
      </c>
      <c r="P21" s="226">
        <v>1</v>
      </c>
      <c r="Q21" s="227">
        <v>0</v>
      </c>
      <c r="R21" s="227"/>
      <c r="S21" s="227">
        <v>0</v>
      </c>
      <c r="T21" s="227"/>
      <c r="U21" s="227">
        <f ca="1">IF($B23,0,U22-IF(ISNUMBER(T22),T22,0))</f>
        <v>0</v>
      </c>
      <c r="V21" s="227">
        <f ca="1">IF($B23,0,V22-IF(ISNUMBER(U22),U22,0))</f>
        <v>0</v>
      </c>
      <c r="W21" s="228">
        <f ca="1">IF($B23,0,W22-IF(ISNUMBER(V22),V22,0))</f>
        <v>0</v>
      </c>
      <c r="X21" s="196"/>
      <c r="AC21" s="221">
        <f ca="1">IF($B23,0,AC22-IF(ISNUMBER(AB22),AB22,0))</f>
        <v>0</v>
      </c>
    </row>
    <row r="22" spans="1:29" ht="14.25">
      <c r="A22" s="184"/>
      <c r="B22" s="184"/>
      <c r="C22" s="184"/>
      <c r="D22" s="184"/>
      <c r="E22" s="184"/>
      <c r="F22" s="184"/>
      <c r="G22" s="184"/>
      <c r="H22" s="184"/>
      <c r="I22" s="184"/>
      <c r="J22" s="184"/>
      <c r="K22" s="184"/>
      <c r="L22" s="374"/>
      <c r="M22" s="376"/>
      <c r="N22" s="378"/>
      <c r="O22" s="170" t="s">
        <v>145</v>
      </c>
      <c r="P22" s="198">
        <f aca="true" t="shared" si="10" ref="P22:W22">MIN(IF($B23,P21+IF(ISNUMBER(O22),O22,0),P23/$N21),1)</f>
        <v>0</v>
      </c>
      <c r="Q22" s="168">
        <f ca="1" t="shared" si="10"/>
        <v>0</v>
      </c>
      <c r="R22" s="168">
        <f ca="1" t="shared" si="10"/>
        <v>0</v>
      </c>
      <c r="S22" s="168">
        <f ca="1" t="shared" si="10"/>
        <v>0</v>
      </c>
      <c r="T22" s="168">
        <f ca="1" t="shared" si="10"/>
        <v>0</v>
      </c>
      <c r="U22" s="168">
        <f ca="1" t="shared" si="10"/>
        <v>0</v>
      </c>
      <c r="V22" s="168">
        <f ca="1" t="shared" si="10"/>
        <v>0</v>
      </c>
      <c r="W22" s="168">
        <f ca="1" t="shared" si="10"/>
        <v>0</v>
      </c>
      <c r="X22" s="196"/>
      <c r="AC22" s="168">
        <f ca="1">MIN(IF($B23,AC21+IF(ISNUMBER(AB22),AB22,0),AC23/$N21),1)</f>
        <v>0</v>
      </c>
    </row>
    <row r="23" spans="1:29" ht="14.25">
      <c r="A23" s="184">
        <f ca="1">OFFSET(A23,-CFF.NumLinha,0)+1</f>
        <v>2</v>
      </c>
      <c r="B23" s="184" t="b">
        <f ca="1">$C23&gt;=OFFSET($C23,CFF.NumLinha,0)</f>
        <v>0</v>
      </c>
      <c r="C23" s="184">
        <f ca="1">INDEX(PO!A$12:A$134,MATCH($A23,PO!$V$12:$V$134,0))</f>
        <v>1</v>
      </c>
      <c r="D23" s="184">
        <f ca="1">IF(ISERROR(J23),I23,SMALL(I23:J23,1))-1</f>
        <v>14</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ca="1">MATCH(0,OFFSET($D23,1,$C23,ROW($A$84)-ROW($A23)),0)</f>
        <v>61</v>
      </c>
      <c r="J23" s="184">
        <f ca="1">MATCH(OFFSET($D23,0,$C23)+1,OFFSET($D23,1,$C23,ROW($A$84)-ROW($A23)),0)</f>
        <v>15</v>
      </c>
      <c r="K23" s="185">
        <f ca="1">ROUND(INDEX(PO!T$12:T$134,MATCH($A23,PO!$V$12:$V$134,0)),2)+10^-12</f>
        <v>1E-12</v>
      </c>
      <c r="L23" s="374"/>
      <c r="M23" s="376"/>
      <c r="N23" s="378"/>
      <c r="O23" s="204" t="s">
        <v>20</v>
      </c>
      <c r="P23" s="199">
        <f aca="true" ca="1" t="shared" si="11" ref="P23:W23">IF($B23,ROUND(P22*$N21,2),ROUND(SUMIF(OFFSET($B23,1,0,$D23),TRUE,OFFSET(P23,1,0,$D23))/SUMIF(OFFSET($B23,1,0,$D23),TRUE,OFFSET($K23,1,0,$D23))*$N21,2))</f>
        <v>0</v>
      </c>
      <c r="Q23" s="169">
        <f ca="1" t="shared" si="11"/>
        <v>0</v>
      </c>
      <c r="R23" s="169">
        <f ca="1" t="shared" si="11"/>
        <v>0</v>
      </c>
      <c r="S23" s="169">
        <f ca="1" t="shared" si="11"/>
        <v>0</v>
      </c>
      <c r="T23" s="169">
        <f ca="1" t="shared" si="11"/>
        <v>0</v>
      </c>
      <c r="U23" s="169">
        <f ca="1" t="shared" si="11"/>
        <v>0</v>
      </c>
      <c r="V23" s="169">
        <f ca="1" t="shared" si="11"/>
        <v>0</v>
      </c>
      <c r="W23" s="207">
        <f ca="1" t="shared" si="11"/>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73" t="str">
        <f ca="1">INDEX(PO!K$12:K$134,MATCH($A26,PO!$V$12:$V$134,0))</f>
        <v>2.1.</v>
      </c>
      <c r="M24" s="375" t="str">
        <f ca="1">INDEX(PO!N$12:N$134,MATCH($A26,PO!$V$12:$V$134,0))</f>
        <v>EXECUÇÃO DE SAPATA EM CONCRETO ARMADO</v>
      </c>
      <c r="N24" s="377">
        <f ca="1">IF(ROUND(K26,2)=0,K26,ROUND(K26,2))</f>
        <v>1E-12</v>
      </c>
      <c r="O24" s="220" t="s">
        <v>143</v>
      </c>
      <c r="P24" s="226">
        <v>1</v>
      </c>
      <c r="Q24" s="227">
        <v>0</v>
      </c>
      <c r="R24" s="227">
        <v>0</v>
      </c>
      <c r="S24" s="227">
        <v>0</v>
      </c>
      <c r="T24" s="227">
        <f ca="1">IF($B26,0,T25-IF(ISNUMBER(S25),S25,0))</f>
        <v>0</v>
      </c>
      <c r="U24" s="227">
        <f ca="1">IF($B26,0,U25-IF(ISNUMBER(T25),T25,0))</f>
        <v>0</v>
      </c>
      <c r="V24" s="227">
        <f ca="1">IF($B26,0,V25-IF(ISNUMBER(U25),U25,0))</f>
        <v>0</v>
      </c>
      <c r="W24" s="228">
        <f ca="1">IF($B26,0,W25-IF(ISNUMBER(V25),V25,0))</f>
        <v>0</v>
      </c>
      <c r="X24" s="196"/>
      <c r="AC24" s="221">
        <f ca="1">IF($B26,0,AC25-IF(ISNUMBER(AB25),AB25,0))</f>
        <v>0</v>
      </c>
    </row>
    <row r="25" spans="1:29" ht="14.25">
      <c r="A25" s="184"/>
      <c r="B25" s="184"/>
      <c r="C25" s="184"/>
      <c r="D25" s="184"/>
      <c r="E25" s="184"/>
      <c r="F25" s="184"/>
      <c r="G25" s="184"/>
      <c r="H25" s="184"/>
      <c r="I25" s="184"/>
      <c r="J25" s="184"/>
      <c r="K25" s="184"/>
      <c r="L25" s="374"/>
      <c r="M25" s="376"/>
      <c r="N25" s="378"/>
      <c r="O25" s="170" t="s">
        <v>145</v>
      </c>
      <c r="P25" s="198">
        <f aca="true" t="shared" si="12" ref="P25:W25">MIN(IF($B26,P24+IF(ISNUMBER(O25),O25,0),P26/$N24),1)</f>
        <v>1</v>
      </c>
      <c r="Q25" s="168">
        <f ca="1" t="shared" si="12"/>
        <v>1</v>
      </c>
      <c r="R25" s="168">
        <f ca="1" t="shared" si="12"/>
        <v>1</v>
      </c>
      <c r="S25" s="168">
        <f ca="1" t="shared" si="12"/>
        <v>1</v>
      </c>
      <c r="T25" s="168">
        <f ca="1" t="shared" si="12"/>
        <v>1</v>
      </c>
      <c r="U25" s="168">
        <f ca="1" t="shared" si="12"/>
        <v>1</v>
      </c>
      <c r="V25" s="168">
        <f ca="1" t="shared" si="12"/>
        <v>1</v>
      </c>
      <c r="W25" s="168">
        <f ca="1" t="shared" si="12"/>
        <v>1</v>
      </c>
      <c r="X25" s="196"/>
      <c r="AC25" s="168">
        <f ca="1">MIN(IF($B26,AC24+IF(ISNUMBER(AB25),AB25,0),AC26/$N24),1)</f>
        <v>0</v>
      </c>
    </row>
    <row r="26" spans="1:29" ht="14.25">
      <c r="A26" s="184">
        <f ca="1">OFFSET(A26,-CFF.NumLinha,0)+1</f>
        <v>3</v>
      </c>
      <c r="B26" s="184" t="b">
        <f ca="1">$C26&gt;=OFFSET($C26,CFF.NumLinha,0)</f>
        <v>1</v>
      </c>
      <c r="C26" s="184">
        <f ca="1">INDEX(PO!A$12:A$134,MATCH($A26,PO!$V$12:$V$134,0))</f>
        <v>2</v>
      </c>
      <c r="D26" s="184">
        <f ca="1">IF(ISERROR(J26),I26,SMALL(I26:J26,1))-1</f>
        <v>2</v>
      </c>
      <c r="E26" s="184">
        <f ca="1">IF($C26=1,OFFSET(E26,-CFF.NumLinha,0)+1,OFFSET(E26,-CFF.NumLinha,0))</f>
        <v>2</v>
      </c>
      <c r="F26" s="184">
        <f ca="1">IF($C26=1,0,IF($C26=2,OFFSET(F26,-CFF.NumLinha,0)+1,OFFSET(F26,-CFF.NumLinha,0)))</f>
        <v>1</v>
      </c>
      <c r="G26" s="184">
        <f ca="1">IF(AND($C26&lt;=2,$C26&lt;&gt;0),0,IF($C26=3,OFFSET(G26,-CFF.NumLinha,0)+1,OFFSET(G26,-CFF.NumLinha,0)))</f>
        <v>0</v>
      </c>
      <c r="H26" s="184">
        <f ca="1">IF(AND($C26&lt;=3,$C26&lt;&gt;0),0,IF($C26=4,OFFSET(H26,-CFF.NumLinha,0)+1,OFFSET(H26,-CFF.NumLinha,0)))</f>
        <v>0</v>
      </c>
      <c r="I26" s="184">
        <f ca="1">MATCH(0,OFFSET($D26,1,$C26,ROW($A$84)-ROW($A26)),0)</f>
        <v>12</v>
      </c>
      <c r="J26" s="184">
        <f ca="1">MATCH(OFFSET($D26,0,$C26)+1,OFFSET($D26,1,$C26,ROW($A$84)-ROW($A26)),0)</f>
        <v>3</v>
      </c>
      <c r="K26" s="185">
        <f ca="1">ROUND(INDEX(PO!T$12:T$134,MATCH($A26,PO!$V$12:$V$134,0)),2)+10^-12</f>
        <v>1E-12</v>
      </c>
      <c r="L26" s="374"/>
      <c r="M26" s="376"/>
      <c r="N26" s="378"/>
      <c r="O26" s="204" t="s">
        <v>20</v>
      </c>
      <c r="P26" s="199">
        <f aca="true" ca="1" t="shared" si="13" ref="P26:W26">IF($B26,ROUND(P25*$N24,2),ROUND(SUMIF(OFFSET($B26,1,0,$D26),TRUE,OFFSET(P26,1,0,$D26))/SUMIF(OFFSET($B26,1,0,$D26),TRUE,OFFSET($K26,1,0,$D26))*$N24,2))</f>
        <v>0</v>
      </c>
      <c r="Q26" s="169">
        <f ca="1" t="shared" si="13"/>
        <v>0</v>
      </c>
      <c r="R26" s="169">
        <f ca="1" t="shared" si="13"/>
        <v>0</v>
      </c>
      <c r="S26" s="169">
        <f ca="1" t="shared" si="13"/>
        <v>0</v>
      </c>
      <c r="T26" s="169">
        <f ca="1" t="shared" si="13"/>
        <v>0</v>
      </c>
      <c r="U26" s="169">
        <f ca="1" t="shared" si="13"/>
        <v>0</v>
      </c>
      <c r="V26" s="169">
        <f ca="1" t="shared" si="13"/>
        <v>0</v>
      </c>
      <c r="W26" s="207">
        <f ca="1" t="shared" si="13"/>
        <v>0</v>
      </c>
      <c r="X26" s="196"/>
      <c r="AC26" s="169">
        <f ca="1">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73" t="str">
        <f ca="1">INDEX(PO!K$12:K$134,MATCH($A29,PO!$V$12:$V$134,0))</f>
        <v>2.2.</v>
      </c>
      <c r="M27" s="375" t="str">
        <f ca="1">INDEX(PO!N$12:N$134,MATCH($A29,PO!$V$12:$V$134,0))</f>
        <v>EXECUÇÃO DE PILAR EM CONCRETO ARMADO</v>
      </c>
      <c r="N27" s="377">
        <f ca="1">IF(ROUND(K29,2)=0,K29,ROUND(K29,2))</f>
        <v>1E-12</v>
      </c>
      <c r="O27" s="220" t="s">
        <v>143</v>
      </c>
      <c r="P27" s="226">
        <v>0.5</v>
      </c>
      <c r="Q27" s="227">
        <v>0.5</v>
      </c>
      <c r="R27" s="227">
        <v>0</v>
      </c>
      <c r="S27" s="227"/>
      <c r="T27" s="227"/>
      <c r="U27" s="227"/>
      <c r="V27" s="227"/>
      <c r="W27" s="228">
        <f ca="1">IF($B29,0,W28-IF(ISNUMBER(V28),V28,0))</f>
        <v>0</v>
      </c>
      <c r="X27" s="196"/>
      <c r="AC27" s="221">
        <f ca="1">IF($B29,0,AC28-IF(ISNUMBER(AB28),AB28,0))</f>
        <v>0</v>
      </c>
    </row>
    <row r="28" spans="1:29" ht="14.25">
      <c r="A28" s="184"/>
      <c r="B28" s="184"/>
      <c r="C28" s="184"/>
      <c r="D28" s="184"/>
      <c r="E28" s="184"/>
      <c r="F28" s="184"/>
      <c r="G28" s="184"/>
      <c r="H28" s="184"/>
      <c r="I28" s="184"/>
      <c r="J28" s="184"/>
      <c r="K28" s="184"/>
      <c r="L28" s="374"/>
      <c r="M28" s="376"/>
      <c r="N28" s="378"/>
      <c r="O28" s="170" t="s">
        <v>145</v>
      </c>
      <c r="P28" s="198">
        <f aca="true" t="shared" si="14" ref="P28:W28">MIN(IF($B29,P27+IF(ISNUMBER(O28),O28,0),P29/$N27),1)</f>
        <v>0.5</v>
      </c>
      <c r="Q28" s="168">
        <f ca="1" t="shared" si="14"/>
        <v>1</v>
      </c>
      <c r="R28" s="168">
        <f ca="1" t="shared" si="14"/>
        <v>1</v>
      </c>
      <c r="S28" s="168">
        <f ca="1" t="shared" si="14"/>
        <v>1</v>
      </c>
      <c r="T28" s="168">
        <f ca="1" t="shared" si="14"/>
        <v>1</v>
      </c>
      <c r="U28" s="168">
        <f ca="1" t="shared" si="14"/>
        <v>1</v>
      </c>
      <c r="V28" s="168">
        <f ca="1" t="shared" si="14"/>
        <v>1</v>
      </c>
      <c r="W28" s="168">
        <f ca="1" t="shared" si="14"/>
        <v>1</v>
      </c>
      <c r="X28" s="196"/>
      <c r="AC28" s="168">
        <f ca="1">MIN(IF($B29,AC27+IF(ISNUMBER(AB28),AB28,0),AC29/$N27),1)</f>
        <v>0</v>
      </c>
    </row>
    <row r="29" spans="1:29" ht="14.25">
      <c r="A29" s="184">
        <f ca="1">OFFSET(A29,-CFF.NumLinha,0)+1</f>
        <v>4</v>
      </c>
      <c r="B29" s="184" t="b">
        <f ca="1">$C29&gt;=OFFSET($C29,CFF.NumLinha,0)</f>
        <v>1</v>
      </c>
      <c r="C29" s="184">
        <f ca="1">INDEX(PO!A$12:A$134,MATCH($A29,PO!$V$12:$V$134,0))</f>
        <v>2</v>
      </c>
      <c r="D29" s="184">
        <f ca="1">IF(ISERROR(J29),I29,SMALL(I29:J29,1))-1</f>
        <v>2</v>
      </c>
      <c r="E29" s="184">
        <f ca="1">IF($C29=1,OFFSET(E29,-CFF.NumLinha,0)+1,OFFSET(E29,-CFF.NumLinha,0))</f>
        <v>2</v>
      </c>
      <c r="F29" s="184">
        <f ca="1">IF($C29=1,0,IF($C29=2,OFFSET(F29,-CFF.NumLinha,0)+1,OFFSET(F29,-CFF.NumLinha,0)))</f>
        <v>2</v>
      </c>
      <c r="G29" s="184">
        <f ca="1">IF(AND($C29&lt;=2,$C29&lt;&gt;0),0,IF($C29=3,OFFSET(G29,-CFF.NumLinha,0)+1,OFFSET(G29,-CFF.NumLinha,0)))</f>
        <v>0</v>
      </c>
      <c r="H29" s="184">
        <f ca="1">IF(AND($C29&lt;=3,$C29&lt;&gt;0),0,IF($C29=4,OFFSET(H29,-CFF.NumLinha,0)+1,OFFSET(H29,-CFF.NumLinha,0)))</f>
        <v>0</v>
      </c>
      <c r="I29" s="184">
        <f ca="1">MATCH(0,OFFSET($D29,1,$C29,ROW($A$84)-ROW($A29)),0)</f>
        <v>9</v>
      </c>
      <c r="J29" s="184">
        <f ca="1">MATCH(OFFSET($D29,0,$C29)+1,OFFSET($D29,1,$C29,ROW($A$84)-ROW($A29)),0)</f>
        <v>3</v>
      </c>
      <c r="K29" s="185">
        <f ca="1">ROUND(INDEX(PO!T$12:T$134,MATCH($A29,PO!$V$12:$V$134,0)),2)+10^-12</f>
        <v>1E-12</v>
      </c>
      <c r="L29" s="374"/>
      <c r="M29" s="376"/>
      <c r="N29" s="378"/>
      <c r="O29" s="204" t="s">
        <v>20</v>
      </c>
      <c r="P29" s="199">
        <f aca="true" ca="1" t="shared" si="15" ref="P29:W29">IF($B29,ROUND(P28*$N27,2),ROUND(SUMIF(OFFSET($B29,1,0,$D29),TRUE,OFFSET(P29,1,0,$D29))/SUMIF(OFFSET($B29,1,0,$D29),TRUE,OFFSET($K29,1,0,$D29))*$N27,2))</f>
        <v>0</v>
      </c>
      <c r="Q29" s="169">
        <f ca="1" t="shared" si="15"/>
        <v>0</v>
      </c>
      <c r="R29" s="169">
        <f ca="1" t="shared" si="15"/>
        <v>0</v>
      </c>
      <c r="S29" s="169">
        <f ca="1" t="shared" si="15"/>
        <v>0</v>
      </c>
      <c r="T29" s="169">
        <f ca="1" t="shared" si="15"/>
        <v>0</v>
      </c>
      <c r="U29" s="169">
        <f ca="1" t="shared" si="15"/>
        <v>0</v>
      </c>
      <c r="V29" s="169">
        <f ca="1" t="shared" si="15"/>
        <v>0</v>
      </c>
      <c r="W29" s="207">
        <f ca="1" t="shared" si="15"/>
        <v>0</v>
      </c>
      <c r="X29" s="196"/>
      <c r="AC29" s="169">
        <f ca="1">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73" t="str">
        <f ca="1">INDEX(PO!K$12:K$134,MATCH($A32,PO!$V$12:$V$134,0))</f>
        <v>2.3.</v>
      </c>
      <c r="M30" s="375" t="str">
        <f ca="1">INDEX(PO!N$12:N$134,MATCH($A32,PO!$V$12:$V$134,0))</f>
        <v>EXECUÇÃO DE VIGAS DO PISO  EM CONCRETO ARMADO</v>
      </c>
      <c r="N30" s="377">
        <f ca="1">IF(ROUND(K32,2)=0,K32,ROUND(K32,2))</f>
        <v>1E-12</v>
      </c>
      <c r="O30" s="220" t="s">
        <v>143</v>
      </c>
      <c r="P30" s="226">
        <v>0.5</v>
      </c>
      <c r="Q30" s="227">
        <v>0.5</v>
      </c>
      <c r="R30" s="227">
        <v>0.25</v>
      </c>
      <c r="S30" s="227">
        <v>0.25</v>
      </c>
      <c r="T30" s="227">
        <v>0.25</v>
      </c>
      <c r="U30" s="227">
        <v>0.25</v>
      </c>
      <c r="V30" s="227">
        <f ca="1">IF($B32,0,V31-IF(ISNUMBER(U31),U31,0))</f>
        <v>0</v>
      </c>
      <c r="W30" s="228">
        <f ca="1">IF($B32,0,W31-IF(ISNUMBER(V31),V31,0))</f>
        <v>0</v>
      </c>
      <c r="X30" s="196"/>
      <c r="AC30" s="221">
        <f ca="1">IF($B32,0,AC31-IF(ISNUMBER(AB31),AB31,0))</f>
        <v>0</v>
      </c>
    </row>
    <row r="31" spans="1:29" ht="14.25">
      <c r="A31" s="184"/>
      <c r="B31" s="184"/>
      <c r="C31" s="184"/>
      <c r="D31" s="184"/>
      <c r="E31" s="184"/>
      <c r="F31" s="184"/>
      <c r="G31" s="184"/>
      <c r="H31" s="184"/>
      <c r="I31" s="184"/>
      <c r="J31" s="184"/>
      <c r="K31" s="184"/>
      <c r="L31" s="374"/>
      <c r="M31" s="376"/>
      <c r="N31" s="378"/>
      <c r="O31" s="170" t="s">
        <v>145</v>
      </c>
      <c r="P31" s="198">
        <f aca="true" t="shared" si="16" ref="P31:W31">MIN(IF($B32,P30+IF(ISNUMBER(O31),O31,0),P32/$N30),1)</f>
        <v>0.5</v>
      </c>
      <c r="Q31" s="168">
        <f ca="1" t="shared" si="16"/>
        <v>1</v>
      </c>
      <c r="R31" s="168">
        <f ca="1" t="shared" si="16"/>
        <v>1</v>
      </c>
      <c r="S31" s="168">
        <f ca="1" t="shared" si="16"/>
        <v>1</v>
      </c>
      <c r="T31" s="168">
        <f ca="1" t="shared" si="16"/>
        <v>1</v>
      </c>
      <c r="U31" s="168">
        <f ca="1" t="shared" si="16"/>
        <v>1</v>
      </c>
      <c r="V31" s="168">
        <f ca="1" t="shared" si="16"/>
        <v>1</v>
      </c>
      <c r="W31" s="168">
        <f ca="1" t="shared" si="16"/>
        <v>1</v>
      </c>
      <c r="X31" s="196"/>
      <c r="AC31" s="168">
        <f ca="1">MIN(IF($B32,AC30+IF(ISNUMBER(AB31),AB31,0),AC32/$N30),1)</f>
        <v>0</v>
      </c>
    </row>
    <row r="32" spans="1:29" ht="14.25">
      <c r="A32" s="184">
        <f ca="1">OFFSET(A32,-CFF.NumLinha,0)+1</f>
        <v>5</v>
      </c>
      <c r="B32" s="184" t="b">
        <f ca="1">$C32&gt;=OFFSET($C32,CFF.NumLinha,0)</f>
        <v>1</v>
      </c>
      <c r="C32" s="184">
        <f ca="1">INDEX(PO!A$12:A$134,MATCH($A32,PO!$V$12:$V$134,0))</f>
        <v>2</v>
      </c>
      <c r="D32" s="184">
        <f ca="1">IF(ISERROR(J32),I32,SMALL(I32:J32,1))-1</f>
        <v>2</v>
      </c>
      <c r="E32" s="184">
        <f ca="1">IF($C32=1,OFFSET(E32,-CFF.NumLinha,0)+1,OFFSET(E32,-CFF.NumLinha,0))</f>
        <v>2</v>
      </c>
      <c r="F32" s="184">
        <f ca="1">IF($C32=1,0,IF($C32=2,OFFSET(F32,-CFF.NumLinha,0)+1,OFFSET(F32,-CFF.NumLinha,0)))</f>
        <v>3</v>
      </c>
      <c r="G32" s="184">
        <f ca="1">IF(AND($C32&lt;=2,$C32&lt;&gt;0),0,IF($C32=3,OFFSET(G32,-CFF.NumLinha,0)+1,OFFSET(G32,-CFF.NumLinha,0)))</f>
        <v>0</v>
      </c>
      <c r="H32" s="184">
        <f ca="1">IF(AND($C32&lt;=3,$C32&lt;&gt;0),0,IF($C32=4,OFFSET(H32,-CFF.NumLinha,0)+1,OFFSET(H32,-CFF.NumLinha,0)))</f>
        <v>0</v>
      </c>
      <c r="I32" s="184">
        <f ca="1">MATCH(0,OFFSET($D32,1,$C32,ROW($A$84)-ROW($A32)),0)</f>
        <v>6</v>
      </c>
      <c r="J32" s="184">
        <f ca="1">MATCH(OFFSET($D32,0,$C32)+1,OFFSET($D32,1,$C32,ROW($A$84)-ROW($A32)),0)</f>
        <v>3</v>
      </c>
      <c r="K32" s="185">
        <f ca="1">ROUND(INDEX(PO!T$12:T$134,MATCH($A32,PO!$V$12:$V$134,0)),2)+10^-12</f>
        <v>1E-12</v>
      </c>
      <c r="L32" s="374"/>
      <c r="M32" s="376"/>
      <c r="N32" s="378"/>
      <c r="O32" s="204" t="s">
        <v>20</v>
      </c>
      <c r="P32" s="199">
        <f aca="true" ca="1" t="shared" si="17" ref="P32:W32">IF($B32,ROUND(P31*$N30,2),ROUND(SUMIF(OFFSET($B32,1,0,$D32),TRUE,OFFSET(P32,1,0,$D32))/SUMIF(OFFSET($B32,1,0,$D32),TRUE,OFFSET($K32,1,0,$D32))*$N30,2))</f>
        <v>0</v>
      </c>
      <c r="Q32" s="169">
        <f ca="1" t="shared" si="17"/>
        <v>0</v>
      </c>
      <c r="R32" s="169">
        <f ca="1" t="shared" si="17"/>
        <v>0</v>
      </c>
      <c r="S32" s="169">
        <f ca="1" t="shared" si="17"/>
        <v>0</v>
      </c>
      <c r="T32" s="169">
        <f ca="1" t="shared" si="17"/>
        <v>0</v>
      </c>
      <c r="U32" s="169">
        <f ca="1" t="shared" si="17"/>
        <v>0</v>
      </c>
      <c r="V32" s="169">
        <f ca="1" t="shared" si="17"/>
        <v>0</v>
      </c>
      <c r="W32" s="207">
        <f ca="1" t="shared" si="17"/>
        <v>0</v>
      </c>
      <c r="X32" s="196"/>
      <c r="AC32" s="169">
        <f ca="1">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73" t="str">
        <f ca="1">INDEX(PO!K$12:K$134,MATCH($A35,PO!$V$12:$V$134,0))</f>
        <v>2.4.</v>
      </c>
      <c r="M33" s="375" t="str">
        <f ca="1">INDEX(PO!N$12:N$134,MATCH($A35,PO!$V$12:$V$134,0))</f>
        <v>EXECUÇÃO DE CINTA DE COBERTURA</v>
      </c>
      <c r="N33" s="377">
        <f ca="1">IF(ROUND(K35,2)=0,K35,ROUND(K35,2))</f>
        <v>1E-12</v>
      </c>
      <c r="O33" s="220" t="s">
        <v>143</v>
      </c>
      <c r="P33" s="226">
        <v>0</v>
      </c>
      <c r="Q33" s="227">
        <v>0.5</v>
      </c>
      <c r="R33" s="227">
        <v>0.5</v>
      </c>
      <c r="S33" s="227"/>
      <c r="T33" s="227"/>
      <c r="U33" s="227"/>
      <c r="V33" s="227">
        <f ca="1">IF($B35,0,V34-IF(ISNUMBER(U34),U34,0))</f>
        <v>0</v>
      </c>
      <c r="W33" s="228">
        <f ca="1">IF($B35,0,W34-IF(ISNUMBER(V34),V34,0))</f>
        <v>0</v>
      </c>
      <c r="X33" s="196"/>
      <c r="AC33" s="221">
        <f ca="1">IF($B35,0,AC34-IF(ISNUMBER(AB34),AB34,0))</f>
        <v>0</v>
      </c>
    </row>
    <row r="34" spans="1:29" ht="14.25">
      <c r="A34" s="184"/>
      <c r="B34" s="184"/>
      <c r="C34" s="184"/>
      <c r="D34" s="184"/>
      <c r="E34" s="184"/>
      <c r="F34" s="184"/>
      <c r="G34" s="184"/>
      <c r="H34" s="184"/>
      <c r="I34" s="184"/>
      <c r="J34" s="184"/>
      <c r="K34" s="184"/>
      <c r="L34" s="374"/>
      <c r="M34" s="376"/>
      <c r="N34" s="378"/>
      <c r="O34" s="170" t="s">
        <v>145</v>
      </c>
      <c r="P34" s="198">
        <f aca="true" t="shared" si="18" ref="P34:W34">MIN(IF($B35,P33+IF(ISNUMBER(O34),O34,0),P35/$N33),1)</f>
        <v>0</v>
      </c>
      <c r="Q34" s="168">
        <f ca="1" t="shared" si="18"/>
        <v>0.5</v>
      </c>
      <c r="R34" s="168">
        <f ca="1" t="shared" si="18"/>
        <v>1</v>
      </c>
      <c r="S34" s="168">
        <f ca="1" t="shared" si="18"/>
        <v>1</v>
      </c>
      <c r="T34" s="168">
        <f ca="1" t="shared" si="18"/>
        <v>1</v>
      </c>
      <c r="U34" s="168">
        <f ca="1" t="shared" si="18"/>
        <v>1</v>
      </c>
      <c r="V34" s="168">
        <f ca="1" t="shared" si="18"/>
        <v>1</v>
      </c>
      <c r="W34" s="168">
        <f ca="1" t="shared" si="18"/>
        <v>1</v>
      </c>
      <c r="X34" s="196"/>
      <c r="AC34" s="168">
        <f ca="1">MIN(IF($B35,AC33+IF(ISNUMBER(AB34),AB34,0),AC35/$N33),1)</f>
        <v>0</v>
      </c>
    </row>
    <row r="35" spans="1:29" ht="14.25">
      <c r="A35" s="184">
        <f ca="1">OFFSET(A35,-CFF.NumLinha,0)+1</f>
        <v>6</v>
      </c>
      <c r="B35" s="184" t="b">
        <f ca="1">$C35&gt;=OFFSET($C35,CFF.NumLinha,0)</f>
        <v>1</v>
      </c>
      <c r="C35" s="184">
        <f ca="1">INDEX(PO!A$12:A$134,MATCH($A35,PO!$V$12:$V$134,0))</f>
        <v>2</v>
      </c>
      <c r="D35" s="184">
        <f ca="1">IF(ISERROR(J35),I35,SMALL(I35:J35,1))-1</f>
        <v>2</v>
      </c>
      <c r="E35" s="184">
        <f ca="1">IF($C35=1,OFFSET(E35,-CFF.NumLinha,0)+1,OFFSET(E35,-CFF.NumLinha,0))</f>
        <v>2</v>
      </c>
      <c r="F35" s="184">
        <f ca="1">IF($C35=1,0,IF($C35=2,OFFSET(F35,-CFF.NumLinha,0)+1,OFFSET(F35,-CFF.NumLinha,0)))</f>
        <v>4</v>
      </c>
      <c r="G35" s="184">
        <f ca="1">IF(AND($C35&lt;=2,$C35&lt;&gt;0),0,IF($C35=3,OFFSET(G35,-CFF.NumLinha,0)+1,OFFSET(G35,-CFF.NumLinha,0)))</f>
        <v>0</v>
      </c>
      <c r="H35" s="184">
        <f ca="1">IF(AND($C35&lt;=3,$C35&lt;&gt;0),0,IF($C35=4,OFFSET(H35,-CFF.NumLinha,0)+1,OFFSET(H35,-CFF.NumLinha,0)))</f>
        <v>0</v>
      </c>
      <c r="I35" s="184">
        <f ca="1">MATCH(0,OFFSET($D35,1,$C35,ROW($A$84)-ROW($A35)),0)</f>
        <v>3</v>
      </c>
      <c r="J35" s="184" t="e">
        <f ca="1">MATCH(OFFSET($D35,0,$C35)+1,OFFSET($D35,1,$C35,ROW($A$84)-ROW($A35)),0)</f>
        <v>#N/A</v>
      </c>
      <c r="K35" s="185">
        <f ca="1">ROUND(INDEX(PO!T$12:T$134,MATCH($A35,PO!$V$12:$V$134,0)),2)+10^-12</f>
        <v>1E-12</v>
      </c>
      <c r="L35" s="374"/>
      <c r="M35" s="376"/>
      <c r="N35" s="378"/>
      <c r="O35" s="204" t="s">
        <v>20</v>
      </c>
      <c r="P35" s="199">
        <f aca="true" ca="1" t="shared" si="19" ref="P35:W35">IF($B35,ROUND(P34*$N33,2),ROUND(SUMIF(OFFSET($B35,1,0,$D35),TRUE,OFFSET(P35,1,0,$D35))/SUMIF(OFFSET($B35,1,0,$D35),TRUE,OFFSET($K35,1,0,$D35))*$N33,2))</f>
        <v>0</v>
      </c>
      <c r="Q35" s="169">
        <f ca="1" t="shared" si="19"/>
        <v>0</v>
      </c>
      <c r="R35" s="169">
        <f ca="1" t="shared" si="19"/>
        <v>0</v>
      </c>
      <c r="S35" s="169">
        <f ca="1" t="shared" si="19"/>
        <v>0</v>
      </c>
      <c r="T35" s="169">
        <f ca="1" t="shared" si="19"/>
        <v>0</v>
      </c>
      <c r="U35" s="169">
        <f ca="1" t="shared" si="19"/>
        <v>0</v>
      </c>
      <c r="V35" s="169">
        <f ca="1" t="shared" si="19"/>
        <v>0</v>
      </c>
      <c r="W35" s="207">
        <f ca="1" t="shared" si="19"/>
        <v>0</v>
      </c>
      <c r="X35" s="196"/>
      <c r="AC35" s="169">
        <f ca="1">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73" t="str">
        <f ca="1">INDEX(PO!K$12:K$134,MATCH($A38,PO!$V$12:$V$134,0))</f>
        <v>3.</v>
      </c>
      <c r="M36" s="375" t="str">
        <f ca="1">INDEX(PO!N$12:N$134,MATCH($A38,PO!$V$12:$V$134,0))</f>
        <v>PAREDES</v>
      </c>
      <c r="N36" s="377">
        <f ca="1">IF(ROUND(K38,2)=0,K38,ROUND(K38,2))</f>
        <v>1E-12</v>
      </c>
      <c r="O36" s="220" t="s">
        <v>143</v>
      </c>
      <c r="P36" s="226">
        <v>0</v>
      </c>
      <c r="Q36" s="227">
        <v>0.5</v>
      </c>
      <c r="R36" s="227">
        <v>0.5</v>
      </c>
      <c r="S36" s="227">
        <v>0</v>
      </c>
      <c r="T36" s="227"/>
      <c r="U36" s="227"/>
      <c r="V36" s="227">
        <f ca="1">IF($B38,0,V37-IF(ISNUMBER(U37),U37,0))</f>
        <v>0</v>
      </c>
      <c r="W36" s="228">
        <f ca="1">IF($B38,0,W37-IF(ISNUMBER(V37),V37,0))</f>
        <v>0</v>
      </c>
      <c r="X36" s="196"/>
      <c r="AC36" s="221">
        <f ca="1">IF($B38,0,AC37-IF(ISNUMBER(AB37),AB37,0))</f>
        <v>0</v>
      </c>
    </row>
    <row r="37" spans="1:29" ht="14.25">
      <c r="A37" s="184"/>
      <c r="B37" s="184"/>
      <c r="C37" s="184"/>
      <c r="D37" s="184"/>
      <c r="E37" s="184"/>
      <c r="F37" s="184"/>
      <c r="G37" s="184"/>
      <c r="H37" s="184"/>
      <c r="I37" s="184"/>
      <c r="J37" s="184"/>
      <c r="K37" s="184"/>
      <c r="L37" s="374"/>
      <c r="M37" s="376"/>
      <c r="N37" s="378"/>
      <c r="O37" s="170" t="s">
        <v>145</v>
      </c>
      <c r="P37" s="198">
        <f aca="true" t="shared" si="20" ref="P37:W37">MIN(IF($B38,P36+IF(ISNUMBER(O37),O37,0),P38/$N36),1)</f>
        <v>0</v>
      </c>
      <c r="Q37" s="168">
        <f ca="1" t="shared" si="20"/>
        <v>0.5</v>
      </c>
      <c r="R37" s="168">
        <f ca="1" t="shared" si="20"/>
        <v>1</v>
      </c>
      <c r="S37" s="168">
        <f ca="1" t="shared" si="20"/>
        <v>1</v>
      </c>
      <c r="T37" s="168">
        <f ca="1" t="shared" si="20"/>
        <v>1</v>
      </c>
      <c r="U37" s="168">
        <f ca="1" t="shared" si="20"/>
        <v>1</v>
      </c>
      <c r="V37" s="168">
        <f ca="1" t="shared" si="20"/>
        <v>1</v>
      </c>
      <c r="W37" s="168">
        <f ca="1" t="shared" si="20"/>
        <v>1</v>
      </c>
      <c r="X37" s="196"/>
      <c r="AC37" s="168">
        <f ca="1">MIN(IF($B38,AC36+IF(ISNUMBER(AB37),AB37,0),AC38/$N36),1)</f>
        <v>0</v>
      </c>
    </row>
    <row r="38" spans="1:29" ht="14.25">
      <c r="A38" s="184">
        <f ca="1">OFFSET(A38,-CFF.NumLinha,0)+1</f>
        <v>7</v>
      </c>
      <c r="B38" s="184" t="b">
        <f ca="1">$C38&gt;=OFFSET($C38,CFF.NumLinha,0)</f>
        <v>1</v>
      </c>
      <c r="C38" s="184">
        <f ca="1">INDEX(PO!A$12:A$134,MATCH($A38,PO!$V$12:$V$134,0))</f>
        <v>1</v>
      </c>
      <c r="D38" s="184">
        <f ca="1">IF(ISERROR(J38),I38,SMALL(I38:J38,1))-1</f>
        <v>2</v>
      </c>
      <c r="E38" s="184">
        <f ca="1">IF($C38=1,OFFSET(E38,-CFF.NumLinha,0)+1,OFFSET(E38,-CFF.NumLinha,0))</f>
        <v>3</v>
      </c>
      <c r="F38" s="184">
        <f ca="1">IF($C38=1,0,IF($C38=2,OFFSET(F38,-CFF.NumLinha,0)+1,OFFSET(F38,-CFF.NumLinha,0)))</f>
        <v>0</v>
      </c>
      <c r="G38" s="184">
        <f ca="1">IF(AND($C38&lt;=2,$C38&lt;&gt;0),0,IF($C38=3,OFFSET(G38,-CFF.NumLinha,0)+1,OFFSET(G38,-CFF.NumLinha,0)))</f>
        <v>0</v>
      </c>
      <c r="H38" s="184">
        <f ca="1">IF(AND($C38&lt;=3,$C38&lt;&gt;0),0,IF($C38=4,OFFSET(H38,-CFF.NumLinha,0)+1,OFFSET(H38,-CFF.NumLinha,0)))</f>
        <v>0</v>
      </c>
      <c r="I38" s="184">
        <f ca="1">MATCH(0,OFFSET($D38,1,$C38,ROW($A$84)-ROW($A38)),0)</f>
        <v>46</v>
      </c>
      <c r="J38" s="184">
        <f ca="1">MATCH(OFFSET($D38,0,$C38)+1,OFFSET($D38,1,$C38,ROW($A$84)-ROW($A38)),0)</f>
        <v>3</v>
      </c>
      <c r="K38" s="185">
        <f ca="1">ROUND(INDEX(PO!T$12:T$134,MATCH($A38,PO!$V$12:$V$134,0)),2)+10^-12</f>
        <v>1E-12</v>
      </c>
      <c r="L38" s="374"/>
      <c r="M38" s="376"/>
      <c r="N38" s="378"/>
      <c r="O38" s="204" t="s">
        <v>20</v>
      </c>
      <c r="P38" s="199">
        <f aca="true" ca="1" t="shared" si="21" ref="P38:W38">IF($B38,ROUND(P37*$N36,2),ROUND(SUMIF(OFFSET($B38,1,0,$D38),TRUE,OFFSET(P38,1,0,$D38))/SUMIF(OFFSET($B38,1,0,$D38),TRUE,OFFSET($K38,1,0,$D38))*$N36,2))</f>
        <v>0</v>
      </c>
      <c r="Q38" s="169">
        <f ca="1" t="shared" si="21"/>
        <v>0</v>
      </c>
      <c r="R38" s="169">
        <f ca="1" t="shared" si="21"/>
        <v>0</v>
      </c>
      <c r="S38" s="169">
        <f ca="1" t="shared" si="21"/>
        <v>0</v>
      </c>
      <c r="T38" s="169">
        <f ca="1" t="shared" si="21"/>
        <v>0</v>
      </c>
      <c r="U38" s="169">
        <f ca="1" t="shared" si="21"/>
        <v>0</v>
      </c>
      <c r="V38" s="169">
        <f ca="1" t="shared" si="21"/>
        <v>0</v>
      </c>
      <c r="W38" s="207">
        <f ca="1" t="shared" si="21"/>
        <v>0</v>
      </c>
      <c r="X38" s="196"/>
      <c r="AC38" s="169">
        <f ca="1">IF($B38,ROUND(AC37*$N36,2),ROUND(SUMIF(OFFSET($B38,1,0,$D38),TRUE,OFFSET(AC38,1,0,$D38))/SUMIF(OFFSET($B38,1,0,$D38),TRUE,OFFSET($K38,1,0,$D38))*$N36,2))</f>
        <v>0</v>
      </c>
    </row>
    <row r="39" spans="1:29" ht="14.25" customHeight="1">
      <c r="A39" s="82"/>
      <c r="B39" s="82"/>
      <c r="C39" s="82"/>
      <c r="D39" s="82"/>
      <c r="E39" s="82"/>
      <c r="F39" s="82"/>
      <c r="G39" s="82"/>
      <c r="H39" s="82"/>
      <c r="I39" s="82"/>
      <c r="J39" s="82"/>
      <c r="K39" s="82"/>
      <c r="L39" s="373" t="str">
        <f ca="1">INDEX(PO!K$12:K$134,MATCH($A41,PO!$V$12:$V$134,0))</f>
        <v>4.</v>
      </c>
      <c r="M39" s="375" t="str">
        <f ca="1">INDEX(PO!N$12:N$134,MATCH($A41,PO!$V$12:$V$134,0))</f>
        <v>COBERTURA</v>
      </c>
      <c r="N39" s="377">
        <f ca="1">IF(ROUND(K41,2)=0,K41,ROUND(K41,2))</f>
        <v>1E-12</v>
      </c>
      <c r="O39" s="220" t="s">
        <v>143</v>
      </c>
      <c r="P39" s="226">
        <v>0</v>
      </c>
      <c r="Q39" s="227">
        <v>0.5</v>
      </c>
      <c r="R39" s="227">
        <v>0.5</v>
      </c>
      <c r="S39" s="227"/>
      <c r="T39" s="227">
        <v>0</v>
      </c>
      <c r="U39" s="227">
        <v>0</v>
      </c>
      <c r="V39" s="227">
        <f ca="1">IF($B41,0,V40-IF(ISNUMBER(U40),U40,0))</f>
        <v>0</v>
      </c>
      <c r="W39" s="228">
        <f ca="1">IF($B41,0,W40-IF(ISNUMBER(V40),V40,0))</f>
        <v>0</v>
      </c>
      <c r="X39" s="196"/>
      <c r="AC39" s="221">
        <f ca="1">IF($B41,0,AC40-IF(ISNUMBER(AB40),AB40,0))</f>
        <v>0</v>
      </c>
    </row>
    <row r="40" spans="1:29" ht="14.25">
      <c r="A40" s="184"/>
      <c r="B40" s="184"/>
      <c r="C40" s="184"/>
      <c r="D40" s="184"/>
      <c r="E40" s="184"/>
      <c r="F40" s="184"/>
      <c r="G40" s="184"/>
      <c r="H40" s="184"/>
      <c r="I40" s="184"/>
      <c r="J40" s="184"/>
      <c r="K40" s="184"/>
      <c r="L40" s="374"/>
      <c r="M40" s="376"/>
      <c r="N40" s="378"/>
      <c r="O40" s="170" t="s">
        <v>145</v>
      </c>
      <c r="P40" s="198">
        <f aca="true" t="shared" si="22" ref="P40:W40">MIN(IF($B41,P39+IF(ISNUMBER(O40),O40,0),P41/$N39),1)</f>
        <v>0</v>
      </c>
      <c r="Q40" s="168">
        <f ca="1" t="shared" si="22"/>
        <v>0.5</v>
      </c>
      <c r="R40" s="168">
        <f ca="1" t="shared" si="22"/>
        <v>1</v>
      </c>
      <c r="S40" s="168">
        <f ca="1" t="shared" si="22"/>
        <v>1</v>
      </c>
      <c r="T40" s="168">
        <f ca="1" t="shared" si="22"/>
        <v>1</v>
      </c>
      <c r="U40" s="168">
        <f ca="1" t="shared" si="22"/>
        <v>1</v>
      </c>
      <c r="V40" s="168">
        <f ca="1" t="shared" si="22"/>
        <v>1</v>
      </c>
      <c r="W40" s="168">
        <f ca="1" t="shared" si="22"/>
        <v>1</v>
      </c>
      <c r="X40" s="196"/>
      <c r="AC40" s="168">
        <f ca="1">MIN(IF($B41,AC39+IF(ISNUMBER(AB40),AB40,0),AC41/$N39),1)</f>
        <v>0</v>
      </c>
    </row>
    <row r="41" spans="1:29" ht="14.25">
      <c r="A41" s="184">
        <f ca="1">OFFSET(A41,-CFF.NumLinha,0)+1</f>
        <v>8</v>
      </c>
      <c r="B41" s="184" t="b">
        <f ca="1">$C41&gt;=OFFSET($C41,CFF.NumLinha,0)</f>
        <v>1</v>
      </c>
      <c r="C41" s="184">
        <f ca="1">INDEX(PO!A$12:A$134,MATCH($A41,PO!$V$12:$V$134,0))</f>
        <v>1</v>
      </c>
      <c r="D41" s="184">
        <f ca="1">IF(ISERROR(J41),I41,SMALL(I41:J41,1))-1</f>
        <v>2</v>
      </c>
      <c r="E41" s="184">
        <f ca="1">IF($C41=1,OFFSET(E41,-CFF.NumLinha,0)+1,OFFSET(E41,-CFF.NumLinha,0))</f>
        <v>4</v>
      </c>
      <c r="F41" s="184">
        <f ca="1">IF($C41=1,0,IF($C41=2,OFFSET(F41,-CFF.NumLinha,0)+1,OFFSET(F41,-CFF.NumLinha,0)))</f>
        <v>0</v>
      </c>
      <c r="G41" s="184">
        <f ca="1">IF(AND($C41&lt;=2,$C41&lt;&gt;0),0,IF($C41=3,OFFSET(G41,-CFF.NumLinha,0)+1,OFFSET(G41,-CFF.NumLinha,0)))</f>
        <v>0</v>
      </c>
      <c r="H41" s="184">
        <f ca="1">IF(AND($C41&lt;=3,$C41&lt;&gt;0),0,IF($C41=4,OFFSET(H41,-CFF.NumLinha,0)+1,OFFSET(H41,-CFF.NumLinha,0)))</f>
        <v>0</v>
      </c>
      <c r="I41" s="184">
        <f ca="1">MATCH(0,OFFSET($D41,1,$C41,ROW($A$84)-ROW($A41)),0)</f>
        <v>43</v>
      </c>
      <c r="J41" s="184">
        <f ca="1">MATCH(OFFSET($D41,0,$C41)+1,OFFSET($D41,1,$C41,ROW($A$84)-ROW($A41)),0)</f>
        <v>3</v>
      </c>
      <c r="K41" s="185">
        <f ca="1">ROUND(INDEX(PO!T$12:T$134,MATCH($A41,PO!$V$12:$V$134,0)),2)+10^-12</f>
        <v>1E-12</v>
      </c>
      <c r="L41" s="374"/>
      <c r="M41" s="376"/>
      <c r="N41" s="378"/>
      <c r="O41" s="204" t="s">
        <v>20</v>
      </c>
      <c r="P41" s="199">
        <f aca="true" ca="1" t="shared" si="23" ref="P41:W41">IF($B41,ROUND(P40*$N39,2),ROUND(SUMIF(OFFSET($B41,1,0,$D41),TRUE,OFFSET(P41,1,0,$D41))/SUMIF(OFFSET($B41,1,0,$D41),TRUE,OFFSET($K41,1,0,$D41))*$N39,2))</f>
        <v>0</v>
      </c>
      <c r="Q41" s="169">
        <f ca="1" t="shared" si="23"/>
        <v>0</v>
      </c>
      <c r="R41" s="169">
        <f ca="1" t="shared" si="23"/>
        <v>0</v>
      </c>
      <c r="S41" s="169">
        <f ca="1" t="shared" si="23"/>
        <v>0</v>
      </c>
      <c r="T41" s="169">
        <f ca="1" t="shared" si="23"/>
        <v>0</v>
      </c>
      <c r="U41" s="169">
        <f ca="1" t="shared" si="23"/>
        <v>0</v>
      </c>
      <c r="V41" s="169">
        <f ca="1" t="shared" si="23"/>
        <v>0</v>
      </c>
      <c r="W41" s="207">
        <f ca="1" t="shared" si="23"/>
        <v>0</v>
      </c>
      <c r="X41" s="196"/>
      <c r="AC41" s="169">
        <f ca="1">IF($B41,ROUND(AC40*$N39,2),ROUND(SUMIF(OFFSET($B41,1,0,$D41),TRUE,OFFSET(AC41,1,0,$D41))/SUMIF(OFFSET($B41,1,0,$D41),TRUE,OFFSET($K41,1,0,$D41))*$N39,2))</f>
        <v>0</v>
      </c>
    </row>
    <row r="42" spans="1:29" ht="14.25" customHeight="1">
      <c r="A42" s="82"/>
      <c r="B42" s="82"/>
      <c r="C42" s="82"/>
      <c r="D42" s="82"/>
      <c r="E42" s="82"/>
      <c r="F42" s="82"/>
      <c r="G42" s="82"/>
      <c r="H42" s="82"/>
      <c r="I42" s="82"/>
      <c r="J42" s="82"/>
      <c r="K42" s="82"/>
      <c r="L42" s="373" t="str">
        <f ca="1">INDEX(PO!K$12:K$134,MATCH($A44,PO!$V$12:$V$134,0))</f>
        <v>5.</v>
      </c>
      <c r="M42" s="375" t="str">
        <f ca="1">INDEX(PO!N$12:N$134,MATCH($A44,PO!$V$12:$V$134,0))</f>
        <v>IMPERMEABILIZAÇÃO</v>
      </c>
      <c r="N42" s="377">
        <f ca="1">IF(ROUND(K44,2)=0,K44,ROUND(K44,2))</f>
        <v>1E-12</v>
      </c>
      <c r="O42" s="220" t="s">
        <v>143</v>
      </c>
      <c r="P42" s="226">
        <v>0</v>
      </c>
      <c r="Q42" s="227">
        <v>1</v>
      </c>
      <c r="R42" s="227">
        <v>0</v>
      </c>
      <c r="S42" s="227">
        <v>0</v>
      </c>
      <c r="T42" s="227">
        <v>0</v>
      </c>
      <c r="U42" s="227">
        <v>0</v>
      </c>
      <c r="V42" s="227">
        <f ca="1">IF($B44,0,V43-IF(ISNUMBER(U43),U43,0))</f>
        <v>0</v>
      </c>
      <c r="W42" s="228">
        <f ca="1">IF($B44,0,W43-IF(ISNUMBER(V43),V43,0))</f>
        <v>0</v>
      </c>
      <c r="X42" s="196"/>
      <c r="AC42" s="221">
        <f ca="1">IF($B44,0,AC43-IF(ISNUMBER(AB43),AB43,0))</f>
        <v>0</v>
      </c>
    </row>
    <row r="43" spans="1:29" ht="14.25">
      <c r="A43" s="184"/>
      <c r="B43" s="184"/>
      <c r="C43" s="184"/>
      <c r="D43" s="184"/>
      <c r="E43" s="184"/>
      <c r="F43" s="184"/>
      <c r="G43" s="184"/>
      <c r="H43" s="184"/>
      <c r="I43" s="184"/>
      <c r="J43" s="184"/>
      <c r="K43" s="184"/>
      <c r="L43" s="374"/>
      <c r="M43" s="376"/>
      <c r="N43" s="378"/>
      <c r="O43" s="170" t="s">
        <v>145</v>
      </c>
      <c r="P43" s="198">
        <f aca="true" t="shared" si="24" ref="P43:W43">MIN(IF($B44,P42+IF(ISNUMBER(O43),O43,0),P44/$N42),1)</f>
        <v>0</v>
      </c>
      <c r="Q43" s="168">
        <f ca="1" t="shared" si="24"/>
        <v>1</v>
      </c>
      <c r="R43" s="168">
        <f ca="1" t="shared" si="24"/>
        <v>1</v>
      </c>
      <c r="S43" s="168">
        <f ca="1" t="shared" si="24"/>
        <v>1</v>
      </c>
      <c r="T43" s="168">
        <f ca="1" t="shared" si="24"/>
        <v>1</v>
      </c>
      <c r="U43" s="168">
        <f ca="1" t="shared" si="24"/>
        <v>1</v>
      </c>
      <c r="V43" s="168">
        <f ca="1" t="shared" si="24"/>
        <v>1</v>
      </c>
      <c r="W43" s="168">
        <f ca="1" t="shared" si="24"/>
        <v>1</v>
      </c>
      <c r="X43" s="196"/>
      <c r="AC43" s="168">
        <f ca="1">MIN(IF($B44,AC42+IF(ISNUMBER(AB43),AB43,0),AC44/$N42),1)</f>
        <v>0</v>
      </c>
    </row>
    <row r="44" spans="1:29" ht="14.25">
      <c r="A44" s="184">
        <f ca="1">OFFSET(A44,-CFF.NumLinha,0)+1</f>
        <v>9</v>
      </c>
      <c r="B44" s="184" t="b">
        <f ca="1">$C44&gt;=OFFSET($C44,CFF.NumLinha,0)</f>
        <v>1</v>
      </c>
      <c r="C44" s="184">
        <f ca="1">INDEX(PO!A$12:A$134,MATCH($A44,PO!$V$12:$V$134,0))</f>
        <v>1</v>
      </c>
      <c r="D44" s="184">
        <f ca="1">IF(ISERROR(J44),I44,SMALL(I44:J44,1))-1</f>
        <v>2</v>
      </c>
      <c r="E44" s="184">
        <f ca="1">IF($C44=1,OFFSET(E44,-CFF.NumLinha,0)+1,OFFSET(E44,-CFF.NumLinha,0))</f>
        <v>5</v>
      </c>
      <c r="F44" s="184">
        <f ca="1">IF($C44=1,0,IF($C44=2,OFFSET(F44,-CFF.NumLinha,0)+1,OFFSET(F44,-CFF.NumLinha,0)))</f>
        <v>0</v>
      </c>
      <c r="G44" s="184">
        <f ca="1">IF(AND($C44&lt;=2,$C44&lt;&gt;0),0,IF($C44=3,OFFSET(G44,-CFF.NumLinha,0)+1,OFFSET(G44,-CFF.NumLinha,0)))</f>
        <v>0</v>
      </c>
      <c r="H44" s="184">
        <f ca="1">IF(AND($C44&lt;=3,$C44&lt;&gt;0),0,IF($C44=4,OFFSET(H44,-CFF.NumLinha,0)+1,OFFSET(H44,-CFF.NumLinha,0)))</f>
        <v>0</v>
      </c>
      <c r="I44" s="184">
        <f ca="1">MATCH(0,OFFSET($D44,1,$C44,ROW($A$84)-ROW($A44)),0)</f>
        <v>40</v>
      </c>
      <c r="J44" s="184">
        <f ca="1">MATCH(OFFSET($D44,0,$C44)+1,OFFSET($D44,1,$C44,ROW($A$84)-ROW($A44)),0)</f>
        <v>3</v>
      </c>
      <c r="K44" s="185">
        <f ca="1">ROUND(INDEX(PO!T$12:T$134,MATCH($A44,PO!$V$12:$V$134,0)),2)+10^-12</f>
        <v>1E-12</v>
      </c>
      <c r="L44" s="374"/>
      <c r="M44" s="376"/>
      <c r="N44" s="378"/>
      <c r="O44" s="204" t="s">
        <v>20</v>
      </c>
      <c r="P44" s="199">
        <f aca="true" ca="1" t="shared" si="25" ref="P44:W44">IF($B44,ROUND(P43*$N42,2),ROUND(SUMIF(OFFSET($B44,1,0,$D44),TRUE,OFFSET(P44,1,0,$D44))/SUMIF(OFFSET($B44,1,0,$D44),TRUE,OFFSET($K44,1,0,$D44))*$N42,2))</f>
        <v>0</v>
      </c>
      <c r="Q44" s="169">
        <f ca="1" t="shared" si="25"/>
        <v>0</v>
      </c>
      <c r="R44" s="169">
        <f ca="1" t="shared" si="25"/>
        <v>0</v>
      </c>
      <c r="S44" s="169">
        <f ca="1" t="shared" si="25"/>
        <v>0</v>
      </c>
      <c r="T44" s="169">
        <f ca="1" t="shared" si="25"/>
        <v>0</v>
      </c>
      <c r="U44" s="169">
        <f ca="1" t="shared" si="25"/>
        <v>0</v>
      </c>
      <c r="V44" s="169">
        <f ca="1" t="shared" si="25"/>
        <v>0</v>
      </c>
      <c r="W44" s="207">
        <f ca="1" t="shared" si="25"/>
        <v>0</v>
      </c>
      <c r="X44" s="196"/>
      <c r="AC44" s="169">
        <f ca="1">IF($B44,ROUND(AC43*$N42,2),ROUND(SUMIF(OFFSET($B44,1,0,$D44),TRUE,OFFSET(AC44,1,0,$D44))/SUMIF(OFFSET($B44,1,0,$D44),TRUE,OFFSET($K44,1,0,$D44))*$N42,2))</f>
        <v>0</v>
      </c>
    </row>
    <row r="45" spans="1:29" ht="14.25" customHeight="1">
      <c r="A45" s="82"/>
      <c r="B45" s="82"/>
      <c r="C45" s="82"/>
      <c r="D45" s="82"/>
      <c r="E45" s="82"/>
      <c r="F45" s="82"/>
      <c r="G45" s="82"/>
      <c r="H45" s="82"/>
      <c r="I45" s="82"/>
      <c r="J45" s="82"/>
      <c r="K45" s="82"/>
      <c r="L45" s="373" t="str">
        <f ca="1">INDEX(PO!K$12:K$134,MATCH($A47,PO!$V$12:$V$134,0))</f>
        <v>6.</v>
      </c>
      <c r="M45" s="375" t="str">
        <f ca="1">INDEX(PO!N$12:N$134,MATCH($A47,PO!$V$12:$V$134,0))</f>
        <v>REVESTIMENTOS DE PAREDES INTERNAS</v>
      </c>
      <c r="N45" s="377">
        <f ca="1">IF(ROUND(K47,2)=0,K47,ROUND(K47,2))</f>
        <v>1E-12</v>
      </c>
      <c r="O45" s="220" t="s">
        <v>143</v>
      </c>
      <c r="P45" s="226">
        <v>0</v>
      </c>
      <c r="Q45" s="227">
        <v>0</v>
      </c>
      <c r="R45" s="227">
        <v>0.5</v>
      </c>
      <c r="S45" s="227">
        <v>0.5</v>
      </c>
      <c r="T45" s="227">
        <f aca="true" t="shared" si="26" ref="T45:V45">IF($B47,0,T46-IF(ISNUMBER(S46),S46,0))</f>
        <v>0</v>
      </c>
      <c r="U45" s="227">
        <f ca="1" t="shared" si="26"/>
        <v>0</v>
      </c>
      <c r="V45" s="227">
        <f ca="1" t="shared" si="26"/>
        <v>0</v>
      </c>
      <c r="W45" s="228">
        <v>0</v>
      </c>
      <c r="X45" s="196"/>
      <c r="AC45" s="221">
        <f ca="1">IF($B47,0,AC46-IF(ISNUMBER(AB46),AB46,0))</f>
        <v>0</v>
      </c>
    </row>
    <row r="46" spans="1:29" ht="14.25">
      <c r="A46" s="184"/>
      <c r="B46" s="184"/>
      <c r="C46" s="184"/>
      <c r="D46" s="184"/>
      <c r="E46" s="184"/>
      <c r="F46" s="184"/>
      <c r="G46" s="184"/>
      <c r="H46" s="184"/>
      <c r="I46" s="184"/>
      <c r="J46" s="184"/>
      <c r="K46" s="184"/>
      <c r="L46" s="374"/>
      <c r="M46" s="376"/>
      <c r="N46" s="378"/>
      <c r="O46" s="170" t="s">
        <v>145</v>
      </c>
      <c r="P46" s="198">
        <f aca="true" t="shared" si="27" ref="P46:W46">MIN(IF($B47,P45+IF(ISNUMBER(O46),O46,0),P47/$N45),1)</f>
        <v>0</v>
      </c>
      <c r="Q46" s="168">
        <f ca="1" t="shared" si="27"/>
        <v>0</v>
      </c>
      <c r="R46" s="168">
        <f ca="1" t="shared" si="27"/>
        <v>0.5</v>
      </c>
      <c r="S46" s="168">
        <f ca="1" t="shared" si="27"/>
        <v>1</v>
      </c>
      <c r="T46" s="168">
        <f ca="1" t="shared" si="27"/>
        <v>1</v>
      </c>
      <c r="U46" s="168">
        <f ca="1" t="shared" si="27"/>
        <v>1</v>
      </c>
      <c r="V46" s="168">
        <f ca="1" t="shared" si="27"/>
        <v>1</v>
      </c>
      <c r="W46" s="168">
        <f ca="1" t="shared" si="27"/>
        <v>1</v>
      </c>
      <c r="X46" s="196"/>
      <c r="AC46" s="168">
        <f ca="1">MIN(IF($B47,AC45+IF(ISNUMBER(AB46),AB46,0),AC47/$N45),1)</f>
        <v>0</v>
      </c>
    </row>
    <row r="47" spans="1:29" ht="14.25">
      <c r="A47" s="184">
        <f ca="1">OFFSET(A47,-CFF.NumLinha,0)+1</f>
        <v>10</v>
      </c>
      <c r="B47" s="184" t="b">
        <f ca="1">$C47&gt;=OFFSET($C47,CFF.NumLinha,0)</f>
        <v>1</v>
      </c>
      <c r="C47" s="184">
        <f ca="1">INDEX(PO!A$12:A$134,MATCH($A47,PO!$V$12:$V$134,0))</f>
        <v>1</v>
      </c>
      <c r="D47" s="184">
        <f ca="1">IF(ISERROR(J47),I47,SMALL(I47:J47,1))-1</f>
        <v>2</v>
      </c>
      <c r="E47" s="184">
        <f ca="1">IF($C47=1,OFFSET(E47,-CFF.NumLinha,0)+1,OFFSET(E47,-CFF.NumLinha,0))</f>
        <v>6</v>
      </c>
      <c r="F47" s="184">
        <f ca="1">IF($C47=1,0,IF($C47=2,OFFSET(F47,-CFF.NumLinha,0)+1,OFFSET(F47,-CFF.NumLinha,0)))</f>
        <v>0</v>
      </c>
      <c r="G47" s="184">
        <f ca="1">IF(AND($C47&lt;=2,$C47&lt;&gt;0),0,IF($C47=3,OFFSET(G47,-CFF.NumLinha,0)+1,OFFSET(G47,-CFF.NumLinha,0)))</f>
        <v>0</v>
      </c>
      <c r="H47" s="184">
        <f ca="1">IF(AND($C47&lt;=3,$C47&lt;&gt;0),0,IF($C47=4,OFFSET(H47,-CFF.NumLinha,0)+1,OFFSET(H47,-CFF.NumLinha,0)))</f>
        <v>0</v>
      </c>
      <c r="I47" s="184">
        <f ca="1">MATCH(0,OFFSET($D47,1,$C47,ROW($A$84)-ROW($A47)),0)</f>
        <v>37</v>
      </c>
      <c r="J47" s="184">
        <f ca="1">MATCH(OFFSET($D47,0,$C47)+1,OFFSET($D47,1,$C47,ROW($A$84)-ROW($A47)),0)</f>
        <v>3</v>
      </c>
      <c r="K47" s="185">
        <f ca="1">ROUND(INDEX(PO!T$12:T$134,MATCH($A47,PO!$V$12:$V$134,0)),2)+10^-12</f>
        <v>1E-12</v>
      </c>
      <c r="L47" s="374"/>
      <c r="M47" s="376"/>
      <c r="N47" s="378"/>
      <c r="O47" s="204" t="s">
        <v>20</v>
      </c>
      <c r="P47" s="199">
        <f aca="true" ca="1" t="shared" si="28" ref="P47:W47">IF($B47,ROUND(P46*$N45,2),ROUND(SUMIF(OFFSET($B47,1,0,$D47),TRUE,OFFSET(P47,1,0,$D47))/SUMIF(OFFSET($B47,1,0,$D47),TRUE,OFFSET($K47,1,0,$D47))*$N45,2))</f>
        <v>0</v>
      </c>
      <c r="Q47" s="169">
        <f ca="1" t="shared" si="28"/>
        <v>0</v>
      </c>
      <c r="R47" s="169">
        <f ca="1" t="shared" si="28"/>
        <v>0</v>
      </c>
      <c r="S47" s="169">
        <f ca="1" t="shared" si="28"/>
        <v>0</v>
      </c>
      <c r="T47" s="169">
        <f ca="1" t="shared" si="28"/>
        <v>0</v>
      </c>
      <c r="U47" s="169">
        <f ca="1" t="shared" si="28"/>
        <v>0</v>
      </c>
      <c r="V47" s="169">
        <f ca="1" t="shared" si="28"/>
        <v>0</v>
      </c>
      <c r="W47" s="207">
        <f ca="1" t="shared" si="28"/>
        <v>0</v>
      </c>
      <c r="X47" s="196"/>
      <c r="AC47" s="169">
        <f ca="1">IF($B47,ROUND(AC46*$N45,2),ROUND(SUMIF(OFFSET($B47,1,0,$D47),TRUE,OFFSET(AC47,1,0,$D47))/SUMIF(OFFSET($B47,1,0,$D47),TRUE,OFFSET($K47,1,0,$D47))*$N45,2))</f>
        <v>0</v>
      </c>
    </row>
    <row r="48" spans="1:29" ht="14.25" customHeight="1">
      <c r="A48" s="82"/>
      <c r="B48" s="82"/>
      <c r="C48" s="82"/>
      <c r="D48" s="82"/>
      <c r="E48" s="82"/>
      <c r="F48" s="82"/>
      <c r="G48" s="82"/>
      <c r="H48" s="82"/>
      <c r="I48" s="82"/>
      <c r="J48" s="82"/>
      <c r="K48" s="82"/>
      <c r="L48" s="373" t="str">
        <f ca="1">INDEX(PO!K$12:K$134,MATCH($A50,PO!$V$12:$V$134,0))</f>
        <v>7.</v>
      </c>
      <c r="M48" s="375" t="str">
        <f ca="1">INDEX(PO!N$12:N$134,MATCH($A50,PO!$V$12:$V$134,0))</f>
        <v>INSTALAÇÃO HIDRÁULICAS</v>
      </c>
      <c r="N48" s="377">
        <f ca="1">IF(ROUND(K50,2)=0,K50,ROUND(K50,2))</f>
        <v>1E-12</v>
      </c>
      <c r="O48" s="220" t="s">
        <v>143</v>
      </c>
      <c r="P48" s="226"/>
      <c r="Q48" s="227"/>
      <c r="R48" s="227">
        <v>0.5</v>
      </c>
      <c r="S48" s="227">
        <v>0.5</v>
      </c>
      <c r="T48" s="227">
        <f ca="1">IF($B50,0,T49-IF(ISNUMBER(S49),S49,0))</f>
        <v>0</v>
      </c>
      <c r="U48" s="227">
        <f ca="1">IF($B50,0,U49-IF(ISNUMBER(T49),T49,0))</f>
        <v>0</v>
      </c>
      <c r="V48" s="227">
        <v>0</v>
      </c>
      <c r="W48" s="228">
        <v>0</v>
      </c>
      <c r="X48" s="196"/>
      <c r="AC48" s="221">
        <f ca="1">IF($B50,0,AC49-IF(ISNUMBER(AB49),AB49,0))</f>
        <v>0</v>
      </c>
    </row>
    <row r="49" spans="1:29" ht="14.25">
      <c r="A49" s="184"/>
      <c r="B49" s="184"/>
      <c r="C49" s="184"/>
      <c r="D49" s="184"/>
      <c r="E49" s="184"/>
      <c r="F49" s="184"/>
      <c r="G49" s="184"/>
      <c r="H49" s="184"/>
      <c r="I49" s="184"/>
      <c r="J49" s="184"/>
      <c r="K49" s="184"/>
      <c r="L49" s="374"/>
      <c r="M49" s="376"/>
      <c r="N49" s="378"/>
      <c r="O49" s="170" t="s">
        <v>145</v>
      </c>
      <c r="P49" s="198">
        <f aca="true" t="shared" si="29" ref="P49:W49">MIN(IF($B50,P48+IF(ISNUMBER(O49),O49,0),P50/$N48),1)</f>
        <v>0</v>
      </c>
      <c r="Q49" s="168">
        <f ca="1" t="shared" si="29"/>
        <v>0</v>
      </c>
      <c r="R49" s="168">
        <f ca="1" t="shared" si="29"/>
        <v>0.5</v>
      </c>
      <c r="S49" s="168">
        <f ca="1" t="shared" si="29"/>
        <v>1</v>
      </c>
      <c r="T49" s="168">
        <f ca="1" t="shared" si="29"/>
        <v>1</v>
      </c>
      <c r="U49" s="168">
        <f ca="1" t="shared" si="29"/>
        <v>1</v>
      </c>
      <c r="V49" s="168">
        <f ca="1" t="shared" si="29"/>
        <v>1</v>
      </c>
      <c r="W49" s="168">
        <f ca="1" t="shared" si="29"/>
        <v>1</v>
      </c>
      <c r="X49" s="196"/>
      <c r="AC49" s="168">
        <f ca="1">MIN(IF($B50,AC48+IF(ISNUMBER(AB49),AB49,0),AC50/$N48),1)</f>
        <v>0</v>
      </c>
    </row>
    <row r="50" spans="1:29" ht="14.25">
      <c r="A50" s="184">
        <f ca="1">OFFSET(A50,-CFF.NumLinha,0)+1</f>
        <v>11</v>
      </c>
      <c r="B50" s="184" t="b">
        <f ca="1">$C50&gt;=OFFSET($C50,CFF.NumLinha,0)</f>
        <v>1</v>
      </c>
      <c r="C50" s="184">
        <f ca="1">INDEX(PO!A$12:A$134,MATCH($A50,PO!$V$12:$V$134,0))</f>
        <v>1</v>
      </c>
      <c r="D50" s="184">
        <f ca="1">IF(ISERROR(J50),I50,SMALL(I50:J50,1))-1</f>
        <v>2</v>
      </c>
      <c r="E50" s="184">
        <f ca="1">IF($C50=1,OFFSET(E50,-CFF.NumLinha,0)+1,OFFSET(E50,-CFF.NumLinha,0))</f>
        <v>7</v>
      </c>
      <c r="F50" s="184">
        <f ca="1">IF($C50=1,0,IF($C50=2,OFFSET(F50,-CFF.NumLinha,0)+1,OFFSET(F50,-CFF.NumLinha,0)))</f>
        <v>0</v>
      </c>
      <c r="G50" s="184">
        <f ca="1">IF(AND($C50&lt;=2,$C50&lt;&gt;0),0,IF($C50=3,OFFSET(G50,-CFF.NumLinha,0)+1,OFFSET(G50,-CFF.NumLinha,0)))</f>
        <v>0</v>
      </c>
      <c r="H50" s="184">
        <f ca="1">IF(AND($C50&lt;=3,$C50&lt;&gt;0),0,IF($C50=4,OFFSET(H50,-CFF.NumLinha,0)+1,OFFSET(H50,-CFF.NumLinha,0)))</f>
        <v>0</v>
      </c>
      <c r="I50" s="184">
        <f ca="1">MATCH(0,OFFSET($D50,1,$C50,ROW($A$84)-ROW($A50)),0)</f>
        <v>34</v>
      </c>
      <c r="J50" s="184">
        <f ca="1">MATCH(OFFSET($D50,0,$C50)+1,OFFSET($D50,1,$C50,ROW($A$84)-ROW($A50)),0)</f>
        <v>3</v>
      </c>
      <c r="K50" s="185">
        <f ca="1">ROUND(INDEX(PO!T$12:T$134,MATCH($A50,PO!$V$12:$V$134,0)),2)+10^-12</f>
        <v>1E-12</v>
      </c>
      <c r="L50" s="374"/>
      <c r="M50" s="376"/>
      <c r="N50" s="378"/>
      <c r="O50" s="204" t="s">
        <v>20</v>
      </c>
      <c r="P50" s="199">
        <f aca="true" ca="1" t="shared" si="30" ref="P50:W50">IF($B50,ROUND(P49*$N48,2),ROUND(SUMIF(OFFSET($B50,1,0,$D50),TRUE,OFFSET(P50,1,0,$D50))/SUMIF(OFFSET($B50,1,0,$D50),TRUE,OFFSET($K50,1,0,$D50))*$N48,2))</f>
        <v>0</v>
      </c>
      <c r="Q50" s="169">
        <f ca="1" t="shared" si="30"/>
        <v>0</v>
      </c>
      <c r="R50" s="169">
        <f ca="1" t="shared" si="30"/>
        <v>0</v>
      </c>
      <c r="S50" s="169">
        <f ca="1" t="shared" si="30"/>
        <v>0</v>
      </c>
      <c r="T50" s="169">
        <f ca="1" t="shared" si="30"/>
        <v>0</v>
      </c>
      <c r="U50" s="169">
        <f ca="1" t="shared" si="30"/>
        <v>0</v>
      </c>
      <c r="V50" s="169">
        <f ca="1" t="shared" si="30"/>
        <v>0</v>
      </c>
      <c r="W50" s="207">
        <f ca="1" t="shared" si="30"/>
        <v>0</v>
      </c>
      <c r="X50" s="196"/>
      <c r="AC50" s="169">
        <f ca="1">IF($B50,ROUND(AC49*$N48,2),ROUND(SUMIF(OFFSET($B50,1,0,$D50),TRUE,OFFSET(AC50,1,0,$D50))/SUMIF(OFFSET($B50,1,0,$D50),TRUE,OFFSET($K50,1,0,$D50))*$N48,2))</f>
        <v>0</v>
      </c>
    </row>
    <row r="51" spans="1:29" ht="14.25" customHeight="1">
      <c r="A51" s="82"/>
      <c r="B51" s="82"/>
      <c r="C51" s="82"/>
      <c r="D51" s="82"/>
      <c r="E51" s="82"/>
      <c r="F51" s="82"/>
      <c r="G51" s="82"/>
      <c r="H51" s="82"/>
      <c r="I51" s="82"/>
      <c r="J51" s="82"/>
      <c r="K51" s="82"/>
      <c r="L51" s="373" t="str">
        <f ca="1">INDEX(PO!K$12:K$134,MATCH($A53,PO!$V$12:$V$134,0))</f>
        <v>8.</v>
      </c>
      <c r="M51" s="375" t="str">
        <f ca="1">INDEX(PO!N$12:N$134,MATCH($A53,PO!$V$12:$V$134,0))</f>
        <v>INSTALAÇÕES SANITÁRIAS</v>
      </c>
      <c r="N51" s="377">
        <f ca="1">IF(ROUND(K53,2)=0,K53,ROUND(K53,2))</f>
        <v>1E-12</v>
      </c>
      <c r="O51" s="220" t="s">
        <v>143</v>
      </c>
      <c r="P51" s="226">
        <v>0</v>
      </c>
      <c r="Q51" s="227"/>
      <c r="R51" s="227">
        <v>0.5</v>
      </c>
      <c r="S51" s="227">
        <v>0.5</v>
      </c>
      <c r="T51" s="227">
        <v>0</v>
      </c>
      <c r="U51" s="227">
        <v>0</v>
      </c>
      <c r="V51" s="227">
        <f ca="1">IF($B53,0,V52-IF(ISNUMBER(U52),U52,0))</f>
        <v>0</v>
      </c>
      <c r="W51" s="228">
        <f ca="1">IF($B53,0,W52-IF(ISNUMBER(V52),V52,0))</f>
        <v>0</v>
      </c>
      <c r="X51" s="196"/>
      <c r="AC51" s="221">
        <f ca="1">IF($B53,0,AC52-IF(ISNUMBER(AB52),AB52,0))</f>
        <v>0</v>
      </c>
    </row>
    <row r="52" spans="1:29" ht="14.25">
      <c r="A52" s="184"/>
      <c r="B52" s="184"/>
      <c r="C52" s="184"/>
      <c r="D52" s="184"/>
      <c r="E52" s="184"/>
      <c r="F52" s="184"/>
      <c r="G52" s="184"/>
      <c r="H52" s="184"/>
      <c r="I52" s="184"/>
      <c r="J52" s="184"/>
      <c r="K52" s="184"/>
      <c r="L52" s="374"/>
      <c r="M52" s="376"/>
      <c r="N52" s="378"/>
      <c r="O52" s="170" t="s">
        <v>145</v>
      </c>
      <c r="P52" s="198">
        <f aca="true" t="shared" si="31" ref="P52:W52">MIN(IF($B53,P51+IF(ISNUMBER(O52),O52,0),P53/$N51),1)</f>
        <v>0</v>
      </c>
      <c r="Q52" s="168">
        <f ca="1" t="shared" si="31"/>
        <v>0</v>
      </c>
      <c r="R52" s="168">
        <f ca="1" t="shared" si="31"/>
        <v>0.5</v>
      </c>
      <c r="S52" s="168">
        <f ca="1" t="shared" si="31"/>
        <v>1</v>
      </c>
      <c r="T52" s="168">
        <f ca="1" t="shared" si="31"/>
        <v>1</v>
      </c>
      <c r="U52" s="168">
        <f ca="1" t="shared" si="31"/>
        <v>1</v>
      </c>
      <c r="V52" s="168">
        <f ca="1" t="shared" si="31"/>
        <v>1</v>
      </c>
      <c r="W52" s="168">
        <f ca="1" t="shared" si="31"/>
        <v>1</v>
      </c>
      <c r="X52" s="196"/>
      <c r="AC52" s="168">
        <f ca="1">MIN(IF($B53,AC51+IF(ISNUMBER(AB52),AB52,0),AC53/$N51),1)</f>
        <v>0</v>
      </c>
    </row>
    <row r="53" spans="1:29" ht="14.25">
      <c r="A53" s="184">
        <f ca="1">OFFSET(A53,-CFF.NumLinha,0)+1</f>
        <v>12</v>
      </c>
      <c r="B53" s="184" t="b">
        <f ca="1">$C53&gt;=OFFSET($C53,CFF.NumLinha,0)</f>
        <v>1</v>
      </c>
      <c r="C53" s="184">
        <f ca="1">INDEX(PO!A$12:A$134,MATCH($A53,PO!$V$12:$V$134,0))</f>
        <v>1</v>
      </c>
      <c r="D53" s="184">
        <f ca="1">IF(ISERROR(J53),I53,SMALL(I53:J53,1))-1</f>
        <v>2</v>
      </c>
      <c r="E53" s="184">
        <f ca="1">IF($C53=1,OFFSET(E53,-CFF.NumLinha,0)+1,OFFSET(E53,-CFF.NumLinha,0))</f>
        <v>8</v>
      </c>
      <c r="F53" s="184">
        <f ca="1">IF($C53=1,0,IF($C53=2,OFFSET(F53,-CFF.NumLinha,0)+1,OFFSET(F53,-CFF.NumLinha,0)))</f>
        <v>0</v>
      </c>
      <c r="G53" s="184">
        <f ca="1">IF(AND($C53&lt;=2,$C53&lt;&gt;0),0,IF($C53=3,OFFSET(G53,-CFF.NumLinha,0)+1,OFFSET(G53,-CFF.NumLinha,0)))</f>
        <v>0</v>
      </c>
      <c r="H53" s="184">
        <f ca="1">IF(AND($C53&lt;=3,$C53&lt;&gt;0),0,IF($C53=4,OFFSET(H53,-CFF.NumLinha,0)+1,OFFSET(H53,-CFF.NumLinha,0)))</f>
        <v>0</v>
      </c>
      <c r="I53" s="184">
        <f ca="1">MATCH(0,OFFSET($D53,1,$C53,ROW($A$84)-ROW($A53)),0)</f>
        <v>31</v>
      </c>
      <c r="J53" s="184">
        <f ca="1">MATCH(OFFSET($D53,0,$C53)+1,OFFSET($D53,1,$C53,ROW($A$84)-ROW($A53)),0)</f>
        <v>3</v>
      </c>
      <c r="K53" s="185">
        <f ca="1">ROUND(INDEX(PO!T$12:T$134,MATCH($A53,PO!$V$12:$V$134,0)),2)+10^-12</f>
        <v>1E-12</v>
      </c>
      <c r="L53" s="374"/>
      <c r="M53" s="376"/>
      <c r="N53" s="378"/>
      <c r="O53" s="204" t="s">
        <v>20</v>
      </c>
      <c r="P53" s="199">
        <f aca="true" ca="1" t="shared" si="32" ref="P53:W53">IF($B53,ROUND(P52*$N51,2),ROUND(SUMIF(OFFSET($B53,1,0,$D53),TRUE,OFFSET(P53,1,0,$D53))/SUMIF(OFFSET($B53,1,0,$D53),TRUE,OFFSET($K53,1,0,$D53))*$N51,2))</f>
        <v>0</v>
      </c>
      <c r="Q53" s="169">
        <f ca="1" t="shared" si="32"/>
        <v>0</v>
      </c>
      <c r="R53" s="169">
        <f ca="1" t="shared" si="32"/>
        <v>0</v>
      </c>
      <c r="S53" s="169">
        <f ca="1" t="shared" si="32"/>
        <v>0</v>
      </c>
      <c r="T53" s="169">
        <f ca="1" t="shared" si="32"/>
        <v>0</v>
      </c>
      <c r="U53" s="169">
        <f ca="1" t="shared" si="32"/>
        <v>0</v>
      </c>
      <c r="V53" s="169">
        <f ca="1" t="shared" si="32"/>
        <v>0</v>
      </c>
      <c r="W53" s="207">
        <f ca="1" t="shared" si="32"/>
        <v>0</v>
      </c>
      <c r="X53" s="196"/>
      <c r="AC53" s="169">
        <f ca="1">IF($B53,ROUND(AC52*$N51,2),ROUND(SUMIF(OFFSET($B53,1,0,$D53),TRUE,OFFSET(AC53,1,0,$D53))/SUMIF(OFFSET($B53,1,0,$D53),TRUE,OFFSET($K53,1,0,$D53))*$N51,2))</f>
        <v>0</v>
      </c>
    </row>
    <row r="54" spans="1:29" ht="14.25" customHeight="1">
      <c r="A54" s="82"/>
      <c r="B54" s="82"/>
      <c r="C54" s="82"/>
      <c r="D54" s="82"/>
      <c r="E54" s="82"/>
      <c r="F54" s="82"/>
      <c r="G54" s="82"/>
      <c r="H54" s="82"/>
      <c r="I54" s="82"/>
      <c r="J54" s="82"/>
      <c r="K54" s="82"/>
      <c r="L54" s="373" t="str">
        <f ca="1">INDEX(PO!K$12:K$134,MATCH($A56,PO!$V$12:$V$134,0))</f>
        <v>9.</v>
      </c>
      <c r="M54" s="375" t="str">
        <f ca="1">INDEX(PO!N$12:N$134,MATCH($A56,PO!$V$12:$V$134,0))</f>
        <v>LOUÇAS E METAIS</v>
      </c>
      <c r="N54" s="377">
        <f ca="1">IF(ROUND(K56,2)=0,K56,ROUND(K56,2))</f>
        <v>1E-12</v>
      </c>
      <c r="O54" s="220" t="s">
        <v>143</v>
      </c>
      <c r="P54" s="226">
        <f aca="true" t="shared" si="33" ref="P54:R54">IF($B56,0,P55-IF(ISNUMBER(O55),O55,0))</f>
        <v>0</v>
      </c>
      <c r="Q54" s="227">
        <v>0</v>
      </c>
      <c r="R54" s="227">
        <f ca="1" t="shared" si="33"/>
        <v>0</v>
      </c>
      <c r="S54" s="227">
        <v>0</v>
      </c>
      <c r="T54" s="227">
        <v>0</v>
      </c>
      <c r="U54" s="227">
        <v>1</v>
      </c>
      <c r="V54" s="227">
        <v>0.5</v>
      </c>
      <c r="W54" s="228">
        <v>0.5</v>
      </c>
      <c r="X54" s="196"/>
      <c r="AC54" s="221">
        <f ca="1">IF($B56,0,AC55-IF(ISNUMBER(AB55),AB55,0))</f>
        <v>0</v>
      </c>
    </row>
    <row r="55" spans="1:29" ht="14.25">
      <c r="A55" s="184"/>
      <c r="B55" s="184"/>
      <c r="C55" s="184"/>
      <c r="D55" s="184"/>
      <c r="E55" s="184"/>
      <c r="F55" s="184"/>
      <c r="G55" s="184"/>
      <c r="H55" s="184"/>
      <c r="I55" s="184"/>
      <c r="J55" s="184"/>
      <c r="K55" s="184"/>
      <c r="L55" s="374"/>
      <c r="M55" s="376"/>
      <c r="N55" s="378"/>
      <c r="O55" s="170" t="s">
        <v>145</v>
      </c>
      <c r="P55" s="198">
        <f aca="true" t="shared" si="34" ref="P55:W55">MIN(IF($B56,P54+IF(ISNUMBER(O55),O55,0),P56/$N54),1)</f>
        <v>0</v>
      </c>
      <c r="Q55" s="168">
        <f ca="1" t="shared" si="34"/>
        <v>0</v>
      </c>
      <c r="R55" s="168">
        <f ca="1" t="shared" si="34"/>
        <v>0</v>
      </c>
      <c r="S55" s="168">
        <f ca="1" t="shared" si="34"/>
        <v>0</v>
      </c>
      <c r="T55" s="168">
        <f ca="1" t="shared" si="34"/>
        <v>0</v>
      </c>
      <c r="U55" s="168">
        <f ca="1" t="shared" si="34"/>
        <v>1</v>
      </c>
      <c r="V55" s="168">
        <f ca="1" t="shared" si="34"/>
        <v>1</v>
      </c>
      <c r="W55" s="168">
        <f ca="1" t="shared" si="34"/>
        <v>1</v>
      </c>
      <c r="X55" s="196"/>
      <c r="AC55" s="168">
        <f ca="1">MIN(IF($B56,AC54+IF(ISNUMBER(AB55),AB55,0),AC56/$N54),1)</f>
        <v>0</v>
      </c>
    </row>
    <row r="56" spans="1:29" ht="14.25">
      <c r="A56" s="184">
        <f ca="1">OFFSET(A56,-CFF.NumLinha,0)+1</f>
        <v>13</v>
      </c>
      <c r="B56" s="184" t="b">
        <f ca="1">$C56&gt;=OFFSET($C56,CFF.NumLinha,0)</f>
        <v>1</v>
      </c>
      <c r="C56" s="184">
        <f ca="1">INDEX(PO!A$12:A$134,MATCH($A56,PO!$V$12:$V$134,0))</f>
        <v>1</v>
      </c>
      <c r="D56" s="184">
        <f ca="1">IF(ISERROR(J56),I56,SMALL(I56:J56,1))-1</f>
        <v>2</v>
      </c>
      <c r="E56" s="184">
        <f ca="1">IF($C56=1,OFFSET(E56,-CFF.NumLinha,0)+1,OFFSET(E56,-CFF.NumLinha,0))</f>
        <v>9</v>
      </c>
      <c r="F56" s="184">
        <f ca="1">IF($C56=1,0,IF($C56=2,OFFSET(F56,-CFF.NumLinha,0)+1,OFFSET(F56,-CFF.NumLinha,0)))</f>
        <v>0</v>
      </c>
      <c r="G56" s="184">
        <f ca="1">IF(AND($C56&lt;=2,$C56&lt;&gt;0),0,IF($C56=3,OFFSET(G56,-CFF.NumLinha,0)+1,OFFSET(G56,-CFF.NumLinha,0)))</f>
        <v>0</v>
      </c>
      <c r="H56" s="184">
        <f ca="1">IF(AND($C56&lt;=3,$C56&lt;&gt;0),0,IF($C56=4,OFFSET(H56,-CFF.NumLinha,0)+1,OFFSET(H56,-CFF.NumLinha,0)))</f>
        <v>0</v>
      </c>
      <c r="I56" s="184">
        <f ca="1">MATCH(0,OFFSET($D56,1,$C56,ROW($A$84)-ROW($A56)),0)</f>
        <v>28</v>
      </c>
      <c r="J56" s="184">
        <f ca="1">MATCH(OFFSET($D56,0,$C56)+1,OFFSET($D56,1,$C56,ROW($A$84)-ROW($A56)),0)</f>
        <v>3</v>
      </c>
      <c r="K56" s="185">
        <f ca="1">ROUND(INDEX(PO!T$12:T$134,MATCH($A56,PO!$V$12:$V$134,0)),2)+10^-12</f>
        <v>1E-12</v>
      </c>
      <c r="L56" s="374"/>
      <c r="M56" s="376"/>
      <c r="N56" s="378"/>
      <c r="O56" s="204" t="s">
        <v>20</v>
      </c>
      <c r="P56" s="199">
        <f aca="true" ca="1" t="shared" si="35" ref="P56:W56">IF($B56,ROUND(P55*$N54,2),ROUND(SUMIF(OFFSET($B56,1,0,$D56),TRUE,OFFSET(P56,1,0,$D56))/SUMIF(OFFSET($B56,1,0,$D56),TRUE,OFFSET($K56,1,0,$D56))*$N54,2))</f>
        <v>0</v>
      </c>
      <c r="Q56" s="169">
        <f ca="1" t="shared" si="35"/>
        <v>0</v>
      </c>
      <c r="R56" s="169">
        <f ca="1" t="shared" si="35"/>
        <v>0</v>
      </c>
      <c r="S56" s="169">
        <f ca="1" t="shared" si="35"/>
        <v>0</v>
      </c>
      <c r="T56" s="169">
        <f ca="1" t="shared" si="35"/>
        <v>0</v>
      </c>
      <c r="U56" s="169">
        <f ca="1" t="shared" si="35"/>
        <v>0</v>
      </c>
      <c r="V56" s="169">
        <f ca="1" t="shared" si="35"/>
        <v>0</v>
      </c>
      <c r="W56" s="207">
        <f ca="1" t="shared" si="35"/>
        <v>0</v>
      </c>
      <c r="X56" s="196"/>
      <c r="AC56" s="169">
        <f ca="1">IF($B56,ROUND(AC55*$N54,2),ROUND(SUMIF(OFFSET($B56,1,0,$D56),TRUE,OFFSET(AC56,1,0,$D56))/SUMIF(OFFSET($B56,1,0,$D56),TRUE,OFFSET($K56,1,0,$D56))*$N54,2))</f>
        <v>0</v>
      </c>
    </row>
    <row r="57" spans="1:29" ht="14.25" customHeight="1">
      <c r="A57" s="82"/>
      <c r="B57" s="82"/>
      <c r="C57" s="82"/>
      <c r="D57" s="82"/>
      <c r="E57" s="82"/>
      <c r="F57" s="82"/>
      <c r="G57" s="82"/>
      <c r="H57" s="82"/>
      <c r="I57" s="82"/>
      <c r="J57" s="82"/>
      <c r="K57" s="82"/>
      <c r="L57" s="373" t="str">
        <f ca="1">INDEX(PO!K$12:K$134,MATCH($A59,PO!$V$12:$V$134,0))</f>
        <v>10.</v>
      </c>
      <c r="M57" s="375" t="str">
        <f ca="1">INDEX(PO!N$12:N$134,MATCH($A59,PO!$V$12:$V$134,0))</f>
        <v>PISO</v>
      </c>
      <c r="N57" s="377">
        <f ca="1">IF(ROUND(K59,2)=0,K59,ROUND(K59,2))</f>
        <v>1E-12</v>
      </c>
      <c r="O57" s="220" t="s">
        <v>143</v>
      </c>
      <c r="P57" s="226">
        <v>0</v>
      </c>
      <c r="Q57" s="227">
        <v>1</v>
      </c>
      <c r="R57" s="227">
        <v>0</v>
      </c>
      <c r="S57" s="227">
        <v>0</v>
      </c>
      <c r="T57" s="227">
        <v>0</v>
      </c>
      <c r="U57" s="227">
        <v>0</v>
      </c>
      <c r="V57" s="227">
        <v>0</v>
      </c>
      <c r="W57" s="228">
        <v>0</v>
      </c>
      <c r="X57" s="196"/>
      <c r="AC57" s="221">
        <f ca="1">IF($B59,0,AC58-IF(ISNUMBER(AB58),AB58,0))</f>
        <v>0</v>
      </c>
    </row>
    <row r="58" spans="1:29" ht="14.25">
      <c r="A58" s="184"/>
      <c r="B58" s="184"/>
      <c r="C58" s="184"/>
      <c r="D58" s="184"/>
      <c r="E58" s="184"/>
      <c r="F58" s="184"/>
      <c r="G58" s="184"/>
      <c r="H58" s="184"/>
      <c r="I58" s="184"/>
      <c r="J58" s="184"/>
      <c r="K58" s="184"/>
      <c r="L58" s="374"/>
      <c r="M58" s="376"/>
      <c r="N58" s="378"/>
      <c r="O58" s="170" t="s">
        <v>145</v>
      </c>
      <c r="P58" s="198">
        <f aca="true" t="shared" si="36" ref="P58:W58">MIN(IF($B59,P57+IF(ISNUMBER(O58),O58,0),P59/$N57),1)</f>
        <v>0</v>
      </c>
      <c r="Q58" s="168">
        <f ca="1" t="shared" si="36"/>
        <v>0</v>
      </c>
      <c r="R58" s="168">
        <f ca="1" t="shared" si="36"/>
        <v>0</v>
      </c>
      <c r="S58" s="168">
        <f ca="1" t="shared" si="36"/>
        <v>0</v>
      </c>
      <c r="T58" s="168">
        <f ca="1" t="shared" si="36"/>
        <v>0</v>
      </c>
      <c r="U58" s="168">
        <f ca="1" t="shared" si="36"/>
        <v>0</v>
      </c>
      <c r="V58" s="168">
        <f ca="1" t="shared" si="36"/>
        <v>0</v>
      </c>
      <c r="W58" s="168">
        <f ca="1" t="shared" si="36"/>
        <v>0</v>
      </c>
      <c r="X58" s="196"/>
      <c r="AC58" s="168">
        <f ca="1">MIN(IF($B59,AC57+IF(ISNUMBER(AB58),AB58,0),AC59/$N57),1)</f>
        <v>0</v>
      </c>
    </row>
    <row r="59" spans="1:29" ht="14.25">
      <c r="A59" s="184">
        <f ca="1">OFFSET(A59,-CFF.NumLinha,0)+1</f>
        <v>14</v>
      </c>
      <c r="B59" s="184" t="b">
        <f ca="1">$C59&gt;=OFFSET($C59,CFF.NumLinha,0)</f>
        <v>0</v>
      </c>
      <c r="C59" s="184">
        <f ca="1">INDEX(PO!A$12:A$134,MATCH($A59,PO!$V$12:$V$134,0))</f>
        <v>1</v>
      </c>
      <c r="D59" s="184">
        <f ca="1">IF(ISERROR(J59),I59,SMALL(I59:J59,1))-1</f>
        <v>8</v>
      </c>
      <c r="E59" s="184">
        <f ca="1">IF($C59=1,OFFSET(E59,-CFF.NumLinha,0)+1,OFFSET(E59,-CFF.NumLinha,0))</f>
        <v>10</v>
      </c>
      <c r="F59" s="184">
        <f ca="1">IF($C59=1,0,IF($C59=2,OFFSET(F59,-CFF.NumLinha,0)+1,OFFSET(F59,-CFF.NumLinha,0)))</f>
        <v>0</v>
      </c>
      <c r="G59" s="184">
        <f ca="1">IF(AND($C59&lt;=2,$C59&lt;&gt;0),0,IF($C59=3,OFFSET(G59,-CFF.NumLinha,0)+1,OFFSET(G59,-CFF.NumLinha,0)))</f>
        <v>0</v>
      </c>
      <c r="H59" s="184">
        <f ca="1">IF(AND($C59&lt;=3,$C59&lt;&gt;0),0,IF($C59=4,OFFSET(H59,-CFF.NumLinha,0)+1,OFFSET(H59,-CFF.NumLinha,0)))</f>
        <v>0</v>
      </c>
      <c r="I59" s="184">
        <f ca="1">MATCH(0,OFFSET($D59,1,$C59,ROW($A$84)-ROW($A59)),0)</f>
        <v>25</v>
      </c>
      <c r="J59" s="184">
        <f ca="1">MATCH(OFFSET($D59,0,$C59)+1,OFFSET($D59,1,$C59,ROW($A$84)-ROW($A59)),0)</f>
        <v>9</v>
      </c>
      <c r="K59" s="185">
        <f ca="1">ROUND(INDEX(PO!T$12:T$134,MATCH($A59,PO!$V$12:$V$134,0)),2)+10^-12</f>
        <v>1E-12</v>
      </c>
      <c r="L59" s="374"/>
      <c r="M59" s="376"/>
      <c r="N59" s="378"/>
      <c r="O59" s="204" t="s">
        <v>20</v>
      </c>
      <c r="P59" s="199">
        <f aca="true" ca="1" t="shared" si="37" ref="P59:W59">IF($B59,ROUND(P58*$N57,2),ROUND(SUMIF(OFFSET($B59,1,0,$D59),TRUE,OFFSET(P59,1,0,$D59))/SUMIF(OFFSET($B59,1,0,$D59),TRUE,OFFSET($K59,1,0,$D59))*$N57,2))</f>
        <v>0</v>
      </c>
      <c r="Q59" s="169">
        <f ca="1" t="shared" si="37"/>
        <v>0</v>
      </c>
      <c r="R59" s="169">
        <f ca="1" t="shared" si="37"/>
        <v>0</v>
      </c>
      <c r="S59" s="169">
        <f ca="1" t="shared" si="37"/>
        <v>0</v>
      </c>
      <c r="T59" s="169">
        <f ca="1" t="shared" si="37"/>
        <v>0</v>
      </c>
      <c r="U59" s="169">
        <f ca="1" t="shared" si="37"/>
        <v>0</v>
      </c>
      <c r="V59" s="169">
        <f ca="1" t="shared" si="37"/>
        <v>0</v>
      </c>
      <c r="W59" s="207">
        <f ca="1" t="shared" si="37"/>
        <v>0</v>
      </c>
      <c r="X59" s="196"/>
      <c r="AC59" s="169">
        <f ca="1">IF($B59,ROUND(AC58*$N57,2),ROUND(SUMIF(OFFSET($B59,1,0,$D59),TRUE,OFFSET(AC59,1,0,$D59))/SUMIF(OFFSET($B59,1,0,$D59),TRUE,OFFSET($K59,1,0,$D59))*$N57,2))</f>
        <v>0</v>
      </c>
    </row>
    <row r="60" spans="1:29" ht="14.25" customHeight="1">
      <c r="A60" s="82"/>
      <c r="B60" s="82"/>
      <c r="C60" s="82"/>
      <c r="D60" s="82"/>
      <c r="E60" s="82"/>
      <c r="F60" s="82"/>
      <c r="G60" s="82"/>
      <c r="H60" s="82"/>
      <c r="I60" s="82"/>
      <c r="J60" s="82"/>
      <c r="K60" s="82"/>
      <c r="L60" s="373" t="str">
        <f ca="1">INDEX(PO!K$12:K$134,MATCH($A62,PO!$V$12:$V$134,0))</f>
        <v>10.1.</v>
      </c>
      <c r="M60" s="375" t="str">
        <f ca="1">INDEX(PO!N$12:N$134,MATCH($A62,PO!$V$12:$V$134,0))</f>
        <v>PISO POLIDO NA PISTA E CIRCULAÇÃO</v>
      </c>
      <c r="N60" s="377">
        <f aca="true" t="shared" si="38" ref="N60">IF(ROUND(K62,2)=0,K62,ROUND(K62,2))</f>
        <v>1E-12</v>
      </c>
      <c r="O60" s="220" t="s">
        <v>143</v>
      </c>
      <c r="P60" s="226">
        <f aca="true" t="shared" si="39" ref="P60">IF($B62,0,P61-IF(ISNUMBER(O61),O61,0))</f>
        <v>0</v>
      </c>
      <c r="Q60" s="227">
        <v>1</v>
      </c>
      <c r="R60" s="227">
        <f aca="true" t="shared" si="40" ref="R60">IF($B62,0,R61-IF(ISNUMBER(Q61),Q61,0))</f>
        <v>0</v>
      </c>
      <c r="S60" s="227">
        <v>0</v>
      </c>
      <c r="T60" s="227">
        <v>0</v>
      </c>
      <c r="U60" s="227">
        <v>0</v>
      </c>
      <c r="V60" s="227">
        <v>0</v>
      </c>
      <c r="W60" s="228">
        <v>0</v>
      </c>
      <c r="X60" s="196"/>
      <c r="AC60" s="221">
        <f aca="true" t="shared" si="41" ref="AC60">IF($B62,0,AC61-IF(ISNUMBER(AB61),AB61,0))</f>
        <v>0</v>
      </c>
    </row>
    <row r="61" spans="1:29" ht="14.25">
      <c r="A61" s="184"/>
      <c r="B61" s="184"/>
      <c r="C61" s="184"/>
      <c r="D61" s="184"/>
      <c r="E61" s="184"/>
      <c r="F61" s="184"/>
      <c r="G61" s="184"/>
      <c r="H61" s="184"/>
      <c r="I61" s="184"/>
      <c r="J61" s="184"/>
      <c r="K61" s="184"/>
      <c r="L61" s="374"/>
      <c r="M61" s="376"/>
      <c r="N61" s="378"/>
      <c r="O61" s="170" t="s">
        <v>145</v>
      </c>
      <c r="P61" s="198">
        <f aca="true" t="shared" si="42" ref="P61">MIN(IF($B62,P60+IF(ISNUMBER(O61),O61,0),P62/$N60),1)</f>
        <v>0</v>
      </c>
      <c r="Q61" s="168">
        <f aca="true" t="shared" si="43" ref="Q61">MIN(IF($B62,Q60+IF(ISNUMBER(P61),P61,0),Q62/$N60),1)</f>
        <v>1</v>
      </c>
      <c r="R61" s="168">
        <f aca="true" t="shared" si="44" ref="R61">MIN(IF($B62,R60+IF(ISNUMBER(Q61),Q61,0),R62/$N60),1)</f>
        <v>1</v>
      </c>
      <c r="S61" s="168">
        <f aca="true" t="shared" si="45" ref="S61">MIN(IF($B62,S60+IF(ISNUMBER(R61),R61,0),S62/$N60),1)</f>
        <v>1</v>
      </c>
      <c r="T61" s="168">
        <f aca="true" t="shared" si="46" ref="T61">MIN(IF($B62,T60+IF(ISNUMBER(S61),S61,0),T62/$N60),1)</f>
        <v>1</v>
      </c>
      <c r="U61" s="168">
        <f aca="true" t="shared" si="47" ref="U61">MIN(IF($B62,U60+IF(ISNUMBER(T61),T61,0),U62/$N60),1)</f>
        <v>1</v>
      </c>
      <c r="V61" s="168">
        <f aca="true" t="shared" si="48" ref="V61">MIN(IF($B62,V60+IF(ISNUMBER(U61),U61,0),V62/$N60),1)</f>
        <v>1</v>
      </c>
      <c r="W61" s="168">
        <f aca="true" t="shared" si="49" ref="W61">MIN(IF($B62,W60+IF(ISNUMBER(V61),V61,0),W62/$N60),1)</f>
        <v>1</v>
      </c>
      <c r="X61" s="196"/>
      <c r="AC61" s="168">
        <f aca="true" t="shared" si="50" ref="AC61">MIN(IF($B62,AC60+IF(ISNUMBER(AB61),AB61,0),AC62/$N60),1)</f>
        <v>0</v>
      </c>
    </row>
    <row r="62" spans="1:29" ht="14.25">
      <c r="A62" s="184">
        <f ca="1">OFFSET(A62,-CFF.NumLinha,0)+1</f>
        <v>15</v>
      </c>
      <c r="B62" s="184" t="b">
        <f ca="1">$C62&gt;=OFFSET($C62,CFF.NumLinha,0)</f>
        <v>1</v>
      </c>
      <c r="C62" s="184">
        <f ca="1">INDEX(PO!A$12:A$134,MATCH($A62,PO!$V$12:$V$134,0))</f>
        <v>2</v>
      </c>
      <c r="D62" s="184">
        <f aca="true" t="shared" si="51" ref="D62">IF(ISERROR(J62),I62,SMALL(I62:J62,1))-1</f>
        <v>2</v>
      </c>
      <c r="E62" s="184">
        <f ca="1">IF($C62=1,OFFSET(E62,-CFF.NumLinha,0)+1,OFFSET(E62,-CFF.NumLinha,0))</f>
        <v>10</v>
      </c>
      <c r="F62" s="184">
        <f ca="1">IF($C62=1,0,IF($C62=2,OFFSET(F62,-CFF.NumLinha,0)+1,OFFSET(F62,-CFF.NumLinha,0)))</f>
        <v>1</v>
      </c>
      <c r="G62" s="184">
        <f ca="1">IF(AND($C62&lt;=2,$C62&lt;&gt;0),0,IF($C62=3,OFFSET(G62,-CFF.NumLinha,0)+1,OFFSET(G62,-CFF.NumLinha,0)))</f>
        <v>0</v>
      </c>
      <c r="H62" s="184">
        <f ca="1">IF(AND($C62&lt;=3,$C62&lt;&gt;0),0,IF($C62=4,OFFSET(H62,-CFF.NumLinha,0)+1,OFFSET(H62,-CFF.NumLinha,0)))</f>
        <v>0</v>
      </c>
      <c r="I62" s="184">
        <f ca="1">MATCH(0,OFFSET($D62,1,$C62,ROW($A$84)-ROW($A62)),0)</f>
        <v>6</v>
      </c>
      <c r="J62" s="184">
        <f ca="1">MATCH(OFFSET($D62,0,$C62)+1,OFFSET($D62,1,$C62,ROW($A$84)-ROW($A62)),0)</f>
        <v>3</v>
      </c>
      <c r="K62" s="185">
        <f ca="1">ROUND(INDEX(PO!T$12:T$134,MATCH($A62,PO!$V$12:$V$134,0)),2)+10^-12</f>
        <v>1E-12</v>
      </c>
      <c r="L62" s="374"/>
      <c r="M62" s="376"/>
      <c r="N62" s="378"/>
      <c r="O62" s="204" t="s">
        <v>20</v>
      </c>
      <c r="P62" s="199">
        <f aca="true" ca="1" t="shared" si="52" ref="P62:W62">IF($B62,ROUND(P61*$N60,2),ROUND(SUMIF(OFFSET($B62,1,0,$D62),TRUE,OFFSET(P62,1,0,$D62))/SUMIF(OFFSET($B62,1,0,$D62),TRUE,OFFSET($K62,1,0,$D62))*$N60,2))</f>
        <v>0</v>
      </c>
      <c r="Q62" s="169">
        <f ca="1" t="shared" si="52"/>
        <v>0</v>
      </c>
      <c r="R62" s="169">
        <f ca="1" t="shared" si="52"/>
        <v>0</v>
      </c>
      <c r="S62" s="169">
        <f ca="1" t="shared" si="52"/>
        <v>0</v>
      </c>
      <c r="T62" s="169">
        <f ca="1" t="shared" si="52"/>
        <v>0</v>
      </c>
      <c r="U62" s="169">
        <f ca="1" t="shared" si="52"/>
        <v>0</v>
      </c>
      <c r="V62" s="169">
        <f ca="1" t="shared" si="52"/>
        <v>0</v>
      </c>
      <c r="W62" s="207">
        <f ca="1" t="shared" si="52"/>
        <v>0</v>
      </c>
      <c r="X62" s="196"/>
      <c r="AC62" s="169">
        <f aca="true" ca="1" t="shared" si="53" ref="AC62">IF($B62,ROUND(AC61*$N60,2),ROUND(SUMIF(OFFSET($B62,1,0,$D62),TRUE,OFFSET(AC62,1,0,$D62))/SUMIF(OFFSET($B62,1,0,$D62),TRUE,OFFSET($K62,1,0,$D62))*$N60,2))</f>
        <v>0</v>
      </c>
    </row>
    <row r="63" spans="1:29" ht="14.25" customHeight="1">
      <c r="A63" s="82"/>
      <c r="B63" s="82"/>
      <c r="C63" s="82"/>
      <c r="D63" s="82"/>
      <c r="E63" s="82"/>
      <c r="F63" s="82"/>
      <c r="G63" s="82"/>
      <c r="H63" s="82"/>
      <c r="I63" s="82"/>
      <c r="J63" s="82"/>
      <c r="K63" s="82"/>
      <c r="L63" s="373" t="str">
        <f ca="1">INDEX(PO!K$12:K$134,MATCH($A65,PO!$V$12:$V$134,0))</f>
        <v>10.2.</v>
      </c>
      <c r="M63" s="375" t="str">
        <f ca="1">INDEX(PO!N$12:N$134,MATCH($A65,PO!$V$12:$V$134,0))</f>
        <v>PISO CERÂMICO SALAS INTERNAS</v>
      </c>
      <c r="N63" s="377">
        <f aca="true" t="shared" si="54" ref="N63">IF(ROUND(K65,2)=0,K65,ROUND(K65,2))</f>
        <v>1E-12</v>
      </c>
      <c r="O63" s="220" t="s">
        <v>143</v>
      </c>
      <c r="P63" s="226">
        <f aca="true" t="shared" si="55" ref="P63">IF($B65,0,P64-IF(ISNUMBER(O64),O64,0))</f>
        <v>0</v>
      </c>
      <c r="Q63" s="227">
        <f aca="true" t="shared" si="56" ref="Q63">IF($B65,0,Q64-IF(ISNUMBER(P64),P64,0))</f>
        <v>0</v>
      </c>
      <c r="R63" s="227">
        <v>0</v>
      </c>
      <c r="S63" s="227">
        <v>1</v>
      </c>
      <c r="T63" s="227">
        <v>0</v>
      </c>
      <c r="U63" s="227">
        <v>0</v>
      </c>
      <c r="V63" s="228">
        <v>0</v>
      </c>
      <c r="W63" s="228">
        <v>0</v>
      </c>
      <c r="X63" s="196"/>
      <c r="AC63" s="221">
        <f aca="true" t="shared" si="57" ref="AC63">IF($B65,0,AC64-IF(ISNUMBER(AB64),AB64,0))</f>
        <v>0</v>
      </c>
    </row>
    <row r="64" spans="1:29" ht="14.25">
      <c r="A64" s="184"/>
      <c r="B64" s="184"/>
      <c r="C64" s="184"/>
      <c r="D64" s="184"/>
      <c r="E64" s="184"/>
      <c r="F64" s="184"/>
      <c r="G64" s="184"/>
      <c r="H64" s="184"/>
      <c r="I64" s="184"/>
      <c r="J64" s="184"/>
      <c r="K64" s="184"/>
      <c r="L64" s="374"/>
      <c r="M64" s="376"/>
      <c r="N64" s="378"/>
      <c r="O64" s="170" t="s">
        <v>145</v>
      </c>
      <c r="P64" s="198">
        <f aca="true" t="shared" si="58" ref="P64">MIN(IF($B65,P63+IF(ISNUMBER(O64),O64,0),P65/$N63),1)</f>
        <v>0</v>
      </c>
      <c r="Q64" s="168">
        <f aca="true" t="shared" si="59" ref="Q64">MIN(IF($B65,Q63+IF(ISNUMBER(P64),P64,0),Q65/$N63),1)</f>
        <v>0</v>
      </c>
      <c r="R64" s="168">
        <f aca="true" t="shared" si="60" ref="R64">MIN(IF($B65,R63+IF(ISNUMBER(Q64),Q64,0),R65/$N63),1)</f>
        <v>0</v>
      </c>
      <c r="S64" s="168">
        <f aca="true" t="shared" si="61" ref="S64">MIN(IF($B65,S63+IF(ISNUMBER(R64),R64,0),S65/$N63),1)</f>
        <v>1</v>
      </c>
      <c r="T64" s="168">
        <f aca="true" t="shared" si="62" ref="T64">MIN(IF($B65,T63+IF(ISNUMBER(S64),S64,0),T65/$N63),1)</f>
        <v>1</v>
      </c>
      <c r="U64" s="168">
        <f aca="true" t="shared" si="63" ref="U64">MIN(IF($B65,U63+IF(ISNUMBER(T64),T64,0),U65/$N63),1)</f>
        <v>1</v>
      </c>
      <c r="V64" s="168">
        <f aca="true" t="shared" si="64" ref="V64">MIN(IF($B65,V63+IF(ISNUMBER(U64),U64,0),V65/$N63),1)</f>
        <v>1</v>
      </c>
      <c r="W64" s="168">
        <f aca="true" t="shared" si="65" ref="W64">MIN(IF($B65,W63+IF(ISNUMBER(V64),V64,0),W65/$N63),1)</f>
        <v>1</v>
      </c>
      <c r="X64" s="196"/>
      <c r="AC64" s="168">
        <f aca="true" t="shared" si="66" ref="AC64">MIN(IF($B65,AC63+IF(ISNUMBER(AB64),AB64,0),AC65/$N63),1)</f>
        <v>0</v>
      </c>
    </row>
    <row r="65" spans="1:29" ht="14.25">
      <c r="A65" s="184">
        <f ca="1">OFFSET(A65,-CFF.NumLinha,0)+1</f>
        <v>16</v>
      </c>
      <c r="B65" s="184" t="b">
        <f ca="1">$C65&gt;=OFFSET($C65,CFF.NumLinha,0)</f>
        <v>1</v>
      </c>
      <c r="C65" s="184">
        <f ca="1">INDEX(PO!A$12:A$134,MATCH($A65,PO!$V$12:$V$134,0))</f>
        <v>2</v>
      </c>
      <c r="D65" s="184">
        <f aca="true" t="shared" si="67" ref="D65">IF(ISERROR(J65),I65,SMALL(I65:J65,1))-1</f>
        <v>2</v>
      </c>
      <c r="E65" s="184">
        <f ca="1">IF($C65=1,OFFSET(E65,-CFF.NumLinha,0)+1,OFFSET(E65,-CFF.NumLinha,0))</f>
        <v>10</v>
      </c>
      <c r="F65" s="184">
        <f ca="1">IF($C65=1,0,IF($C65=2,OFFSET(F65,-CFF.NumLinha,0)+1,OFFSET(F65,-CFF.NumLinha,0)))</f>
        <v>2</v>
      </c>
      <c r="G65" s="184">
        <f ca="1">IF(AND($C65&lt;=2,$C65&lt;&gt;0),0,IF($C65=3,OFFSET(G65,-CFF.NumLinha,0)+1,OFFSET(G65,-CFF.NumLinha,0)))</f>
        <v>0</v>
      </c>
      <c r="H65" s="184">
        <f ca="1">IF(AND($C65&lt;=3,$C65&lt;&gt;0),0,IF($C65=4,OFFSET(H65,-CFF.NumLinha,0)+1,OFFSET(H65,-CFF.NumLinha,0)))</f>
        <v>0</v>
      </c>
      <c r="I65" s="184">
        <f ca="1">MATCH(0,OFFSET($D65,1,$C65,ROW($A$84)-ROW($A65)),0)</f>
        <v>3</v>
      </c>
      <c r="J65" s="184" t="e">
        <f ca="1">MATCH(OFFSET($D65,0,$C65)+1,OFFSET($D65,1,$C65,ROW($A$84)-ROW($A65)),0)</f>
        <v>#N/A</v>
      </c>
      <c r="K65" s="185">
        <f ca="1">ROUND(INDEX(PO!T$12:T$134,MATCH($A65,PO!$V$12:$V$134,0)),2)+10^-12</f>
        <v>1E-12</v>
      </c>
      <c r="L65" s="374"/>
      <c r="M65" s="376"/>
      <c r="N65" s="378"/>
      <c r="O65" s="204" t="s">
        <v>20</v>
      </c>
      <c r="P65" s="199">
        <f aca="true" ca="1" t="shared" si="68" ref="P65:W65">IF($B65,ROUND(P64*$N63,2),ROUND(SUMIF(OFFSET($B65,1,0,$D65),TRUE,OFFSET(P65,1,0,$D65))/SUMIF(OFFSET($B65,1,0,$D65),TRUE,OFFSET($K65,1,0,$D65))*$N63,2))</f>
        <v>0</v>
      </c>
      <c r="Q65" s="169">
        <f ca="1" t="shared" si="68"/>
        <v>0</v>
      </c>
      <c r="R65" s="169">
        <f ca="1" t="shared" si="68"/>
        <v>0</v>
      </c>
      <c r="S65" s="169">
        <f ca="1" t="shared" si="68"/>
        <v>0</v>
      </c>
      <c r="T65" s="169">
        <f ca="1" t="shared" si="68"/>
        <v>0</v>
      </c>
      <c r="U65" s="169">
        <f ca="1" t="shared" si="68"/>
        <v>0</v>
      </c>
      <c r="V65" s="169">
        <f ca="1" t="shared" si="68"/>
        <v>0</v>
      </c>
      <c r="W65" s="207">
        <f ca="1" t="shared" si="68"/>
        <v>0</v>
      </c>
      <c r="X65" s="196"/>
      <c r="AC65" s="169">
        <f aca="true" ca="1" t="shared" si="69" ref="AC65">IF($B65,ROUND(AC64*$N63,2),ROUND(SUMIF(OFFSET($B65,1,0,$D65),TRUE,OFFSET(AC65,1,0,$D65))/SUMIF(OFFSET($B65,1,0,$D65),TRUE,OFFSET($K65,1,0,$D65))*$N63,2))</f>
        <v>0</v>
      </c>
    </row>
    <row r="66" spans="1:29" ht="14.25" customHeight="1">
      <c r="A66" s="82"/>
      <c r="B66" s="82"/>
      <c r="C66" s="82"/>
      <c r="D66" s="82"/>
      <c r="E66" s="82"/>
      <c r="F66" s="82"/>
      <c r="G66" s="82"/>
      <c r="H66" s="82"/>
      <c r="I66" s="82"/>
      <c r="J66" s="82"/>
      <c r="K66" s="82"/>
      <c r="L66" s="373" t="str">
        <f ca="1">INDEX(PO!K$12:K$134,MATCH($A68,PO!$V$12:$V$134,0))</f>
        <v>11.</v>
      </c>
      <c r="M66" s="375" t="str">
        <f ca="1">INDEX(PO!N$12:N$134,MATCH($A68,PO!$V$12:$V$134,0))</f>
        <v>TETO</v>
      </c>
      <c r="N66" s="377">
        <f aca="true" t="shared" si="70" ref="N66">IF(ROUND(K68,2)=0,K68,ROUND(K68,2))</f>
        <v>1E-12</v>
      </c>
      <c r="O66" s="220" t="s">
        <v>143</v>
      </c>
      <c r="P66" s="226">
        <f aca="true" t="shared" si="71" ref="P66">IF($B68,0,P67-IF(ISNUMBER(O67),O67,0))</f>
        <v>0</v>
      </c>
      <c r="Q66" s="227">
        <f aca="true" t="shared" si="72" ref="Q66">IF($B68,0,Q67-IF(ISNUMBER(P67),P67,0))</f>
        <v>0</v>
      </c>
      <c r="R66" s="227">
        <v>0</v>
      </c>
      <c r="S66" s="227">
        <v>1</v>
      </c>
      <c r="T66" s="227">
        <f aca="true" t="shared" si="73" ref="T66">IF($B68,0,T67-IF(ISNUMBER(S67),S67,0))</f>
        <v>0</v>
      </c>
      <c r="U66" s="227">
        <v>0</v>
      </c>
      <c r="V66" s="227">
        <v>0</v>
      </c>
      <c r="W66" s="228">
        <v>0</v>
      </c>
      <c r="X66" s="196"/>
      <c r="AC66" s="221">
        <f aca="true" t="shared" si="74" ref="AC66">IF($B68,0,AC67-IF(ISNUMBER(AB67),AB67,0))</f>
        <v>0</v>
      </c>
    </row>
    <row r="67" spans="1:29" ht="14.25">
      <c r="A67" s="184"/>
      <c r="B67" s="184"/>
      <c r="C67" s="184"/>
      <c r="D67" s="184"/>
      <c r="E67" s="184"/>
      <c r="F67" s="184"/>
      <c r="G67" s="184"/>
      <c r="H67" s="184"/>
      <c r="I67" s="184"/>
      <c r="J67" s="184"/>
      <c r="K67" s="184"/>
      <c r="L67" s="374"/>
      <c r="M67" s="376"/>
      <c r="N67" s="378"/>
      <c r="O67" s="170" t="s">
        <v>145</v>
      </c>
      <c r="P67" s="198">
        <f aca="true" t="shared" si="75" ref="P67">MIN(IF($B68,P66+IF(ISNUMBER(O67),O67,0),P68/$N66),1)</f>
        <v>0</v>
      </c>
      <c r="Q67" s="168">
        <f aca="true" t="shared" si="76" ref="Q67">MIN(IF($B68,Q66+IF(ISNUMBER(P67),P67,0),Q68/$N66),1)</f>
        <v>0</v>
      </c>
      <c r="R67" s="168">
        <f aca="true" t="shared" si="77" ref="R67">MIN(IF($B68,R66+IF(ISNUMBER(Q67),Q67,0),R68/$N66),1)</f>
        <v>0</v>
      </c>
      <c r="S67" s="168">
        <f aca="true" t="shared" si="78" ref="S67">MIN(IF($B68,S66+IF(ISNUMBER(R67),R67,0),S68/$N66),1)</f>
        <v>1</v>
      </c>
      <c r="T67" s="168">
        <f aca="true" t="shared" si="79" ref="T67">MIN(IF($B68,T66+IF(ISNUMBER(S67),S67,0),T68/$N66),1)</f>
        <v>1</v>
      </c>
      <c r="U67" s="168">
        <f aca="true" t="shared" si="80" ref="U67">MIN(IF($B68,U66+IF(ISNUMBER(T67),T67,0),U68/$N66),1)</f>
        <v>1</v>
      </c>
      <c r="V67" s="168">
        <f aca="true" t="shared" si="81" ref="V67">MIN(IF($B68,V66+IF(ISNUMBER(U67),U67,0),V68/$N66),1)</f>
        <v>1</v>
      </c>
      <c r="W67" s="168">
        <f aca="true" t="shared" si="82" ref="W67">MIN(IF($B68,W66+IF(ISNUMBER(V67),V67,0),W68/$N66),1)</f>
        <v>1</v>
      </c>
      <c r="X67" s="196"/>
      <c r="AC67" s="168">
        <f aca="true" t="shared" si="83" ref="AC67">MIN(IF($B68,AC66+IF(ISNUMBER(AB67),AB67,0),AC68/$N66),1)</f>
        <v>0</v>
      </c>
    </row>
    <row r="68" spans="1:29" ht="14.25">
      <c r="A68" s="184">
        <f ca="1">OFFSET(A68,-CFF.NumLinha,0)+1</f>
        <v>17</v>
      </c>
      <c r="B68" s="184" t="b">
        <f ca="1">$C68&gt;=OFFSET($C68,CFF.NumLinha,0)</f>
        <v>1</v>
      </c>
      <c r="C68" s="184">
        <f ca="1">INDEX(PO!A$12:A$134,MATCH($A68,PO!$V$12:$V$134,0))</f>
        <v>1</v>
      </c>
      <c r="D68" s="184">
        <f aca="true" t="shared" si="84" ref="D68">IF(ISERROR(J68),I68,SMALL(I68:J68,1))-1</f>
        <v>2</v>
      </c>
      <c r="E68" s="184">
        <f ca="1">IF($C68=1,OFFSET(E68,-CFF.NumLinha,0)+1,OFFSET(E68,-CFF.NumLinha,0))</f>
        <v>11</v>
      </c>
      <c r="F68" s="184">
        <f ca="1">IF($C68=1,0,IF($C68=2,OFFSET(F68,-CFF.NumLinha,0)+1,OFFSET(F68,-CFF.NumLinha,0)))</f>
        <v>0</v>
      </c>
      <c r="G68" s="184">
        <f ca="1">IF(AND($C68&lt;=2,$C68&lt;&gt;0),0,IF($C68=3,OFFSET(G68,-CFF.NumLinha,0)+1,OFFSET(G68,-CFF.NumLinha,0)))</f>
        <v>0</v>
      </c>
      <c r="H68" s="184">
        <f ca="1">IF(AND($C68&lt;=3,$C68&lt;&gt;0),0,IF($C68=4,OFFSET(H68,-CFF.NumLinha,0)+1,OFFSET(H68,-CFF.NumLinha,0)))</f>
        <v>0</v>
      </c>
      <c r="I68" s="184">
        <f ca="1">MATCH(0,OFFSET($D68,1,$C68,ROW($A$84)-ROW($A68)),0)</f>
        <v>16</v>
      </c>
      <c r="J68" s="184">
        <f ca="1">MATCH(OFFSET($D68,0,$C68)+1,OFFSET($D68,1,$C68,ROW($A$84)-ROW($A68)),0)</f>
        <v>3</v>
      </c>
      <c r="K68" s="185">
        <f ca="1">ROUND(INDEX(PO!T$12:T$134,MATCH($A68,PO!$V$12:$V$134,0)),2)+10^-12</f>
        <v>1E-12</v>
      </c>
      <c r="L68" s="374"/>
      <c r="M68" s="376"/>
      <c r="N68" s="378"/>
      <c r="O68" s="204" t="s">
        <v>20</v>
      </c>
      <c r="P68" s="199">
        <f aca="true" ca="1" t="shared" si="85" ref="P68:W68">IF($B68,ROUND(P67*$N66,2),ROUND(SUMIF(OFFSET($B68,1,0,$D68),TRUE,OFFSET(P68,1,0,$D68))/SUMIF(OFFSET($B68,1,0,$D68),TRUE,OFFSET($K68,1,0,$D68))*$N66,2))</f>
        <v>0</v>
      </c>
      <c r="Q68" s="169">
        <f ca="1" t="shared" si="85"/>
        <v>0</v>
      </c>
      <c r="R68" s="169">
        <f ca="1" t="shared" si="85"/>
        <v>0</v>
      </c>
      <c r="S68" s="169">
        <f ca="1" t="shared" si="85"/>
        <v>0</v>
      </c>
      <c r="T68" s="169">
        <f ca="1" t="shared" si="85"/>
        <v>0</v>
      </c>
      <c r="U68" s="169">
        <f ca="1" t="shared" si="85"/>
        <v>0</v>
      </c>
      <c r="V68" s="169">
        <f ca="1" t="shared" si="85"/>
        <v>0</v>
      </c>
      <c r="W68" s="207">
        <f ca="1" t="shared" si="85"/>
        <v>0</v>
      </c>
      <c r="X68" s="196"/>
      <c r="AC68" s="169">
        <f aca="true" ca="1" t="shared" si="86" ref="AC68">IF($B68,ROUND(AC67*$N66,2),ROUND(SUMIF(OFFSET($B68,1,0,$D68),TRUE,OFFSET(AC68,1,0,$D68))/SUMIF(OFFSET($B68,1,0,$D68),TRUE,OFFSET($K68,1,0,$D68))*$N66,2))</f>
        <v>0</v>
      </c>
    </row>
    <row r="69" spans="1:29" ht="14.25" customHeight="1">
      <c r="A69" s="82"/>
      <c r="B69" s="82"/>
      <c r="C69" s="82"/>
      <c r="D69" s="82"/>
      <c r="E69" s="82"/>
      <c r="F69" s="82"/>
      <c r="G69" s="82"/>
      <c r="H69" s="82"/>
      <c r="I69" s="82"/>
      <c r="J69" s="82"/>
      <c r="K69" s="82"/>
      <c r="L69" s="373" t="str">
        <f ca="1">INDEX(PO!K$12:K$134,MATCH($A71,PO!$V$12:$V$134,0))</f>
        <v>12.</v>
      </c>
      <c r="M69" s="375" t="str">
        <f ca="1">INDEX(PO!N$12:N$134,MATCH($A71,PO!$V$12:$V$134,0))</f>
        <v>COLOCAÇÃO DE DIVISÓRIAS EM GRANITO</v>
      </c>
      <c r="N69" s="377">
        <f aca="true" t="shared" si="87" ref="N69">IF(ROUND(K71,2)=0,K71,ROUND(K71,2))</f>
        <v>1E-12</v>
      </c>
      <c r="O69" s="220" t="s">
        <v>143</v>
      </c>
      <c r="P69" s="226">
        <f aca="true" t="shared" si="88" ref="P69">IF($B71,0,P70-IF(ISNUMBER(O70),O70,0))</f>
        <v>0</v>
      </c>
      <c r="Q69" s="227">
        <f aca="true" t="shared" si="89" ref="Q69">IF($B71,0,Q70-IF(ISNUMBER(P70),P70,0))</f>
        <v>0</v>
      </c>
      <c r="R69" s="227">
        <v>0</v>
      </c>
      <c r="S69" s="227">
        <v>0</v>
      </c>
      <c r="T69" s="227">
        <v>1</v>
      </c>
      <c r="U69" s="227">
        <v>0</v>
      </c>
      <c r="V69" s="227">
        <v>0</v>
      </c>
      <c r="W69" s="228">
        <f aca="true" t="shared" si="90" ref="W69">IF($B71,0,W70-IF(ISNUMBER(V70),V70,0))</f>
        <v>0</v>
      </c>
      <c r="X69" s="196"/>
      <c r="AC69" s="221">
        <f aca="true" t="shared" si="91" ref="AC69">IF($B71,0,AC70-IF(ISNUMBER(AB70),AB70,0))</f>
        <v>0</v>
      </c>
    </row>
    <row r="70" spans="1:29" ht="14.25">
      <c r="A70" s="184"/>
      <c r="B70" s="184"/>
      <c r="C70" s="184"/>
      <c r="D70" s="184"/>
      <c r="E70" s="184"/>
      <c r="F70" s="184"/>
      <c r="G70" s="184"/>
      <c r="H70" s="184"/>
      <c r="I70" s="184"/>
      <c r="J70" s="184"/>
      <c r="K70" s="184"/>
      <c r="L70" s="374"/>
      <c r="M70" s="376"/>
      <c r="N70" s="378"/>
      <c r="O70" s="170" t="s">
        <v>145</v>
      </c>
      <c r="P70" s="198">
        <f aca="true" t="shared" si="92" ref="P70">MIN(IF($B71,P69+IF(ISNUMBER(O70),O70,0),P71/$N69),1)</f>
        <v>0</v>
      </c>
      <c r="Q70" s="168">
        <f aca="true" t="shared" si="93" ref="Q70">MIN(IF($B71,Q69+IF(ISNUMBER(P70),P70,0),Q71/$N69),1)</f>
        <v>0</v>
      </c>
      <c r="R70" s="168">
        <f aca="true" t="shared" si="94" ref="R70">MIN(IF($B71,R69+IF(ISNUMBER(Q70),Q70,0),R71/$N69),1)</f>
        <v>0</v>
      </c>
      <c r="S70" s="168">
        <f aca="true" t="shared" si="95" ref="S70">MIN(IF($B71,S69+IF(ISNUMBER(R70),R70,0),S71/$N69),1)</f>
        <v>0</v>
      </c>
      <c r="T70" s="168">
        <f aca="true" t="shared" si="96" ref="T70">MIN(IF($B71,T69+IF(ISNUMBER(S70),S70,0),T71/$N69),1)</f>
        <v>1</v>
      </c>
      <c r="U70" s="168">
        <f aca="true" t="shared" si="97" ref="U70">MIN(IF($B71,U69+IF(ISNUMBER(T70),T70,0),U71/$N69),1)</f>
        <v>1</v>
      </c>
      <c r="V70" s="168">
        <f aca="true" t="shared" si="98" ref="V70">MIN(IF($B71,V69+IF(ISNUMBER(U70),U70,0),V71/$N69),1)</f>
        <v>1</v>
      </c>
      <c r="W70" s="168">
        <f aca="true" t="shared" si="99" ref="W70">MIN(IF($B71,W69+IF(ISNUMBER(V70),V70,0),W71/$N69),1)</f>
        <v>1</v>
      </c>
      <c r="X70" s="196"/>
      <c r="AC70" s="168">
        <f aca="true" t="shared" si="100" ref="AC70">MIN(IF($B71,AC69+IF(ISNUMBER(AB70),AB70,0),AC71/$N69),1)</f>
        <v>0</v>
      </c>
    </row>
    <row r="71" spans="1:29" ht="14.25">
      <c r="A71" s="184">
        <f ca="1">OFFSET(A71,-CFF.NumLinha,0)+1</f>
        <v>18</v>
      </c>
      <c r="B71" s="184" t="b">
        <f ca="1">$C71&gt;=OFFSET($C71,CFF.NumLinha,0)</f>
        <v>1</v>
      </c>
      <c r="C71" s="184">
        <f ca="1">INDEX(PO!A$12:A$134,MATCH($A71,PO!$V$12:$V$134,0))</f>
        <v>1</v>
      </c>
      <c r="D71" s="184">
        <f aca="true" t="shared" si="101" ref="D71">IF(ISERROR(J71),I71,SMALL(I71:J71,1))-1</f>
        <v>2</v>
      </c>
      <c r="E71" s="184">
        <f ca="1">IF($C71=1,OFFSET(E71,-CFF.NumLinha,0)+1,OFFSET(E71,-CFF.NumLinha,0))</f>
        <v>12</v>
      </c>
      <c r="F71" s="184">
        <f ca="1">IF($C71=1,0,IF($C71=2,OFFSET(F71,-CFF.NumLinha,0)+1,OFFSET(F71,-CFF.NumLinha,0)))</f>
        <v>0</v>
      </c>
      <c r="G71" s="184">
        <f ca="1">IF(AND($C71&lt;=2,$C71&lt;&gt;0),0,IF($C71=3,OFFSET(G71,-CFF.NumLinha,0)+1,OFFSET(G71,-CFF.NumLinha,0)))</f>
        <v>0</v>
      </c>
      <c r="H71" s="184">
        <f ca="1">IF(AND($C71&lt;=3,$C71&lt;&gt;0),0,IF($C71=4,OFFSET(H71,-CFF.NumLinha,0)+1,OFFSET(H71,-CFF.NumLinha,0)))</f>
        <v>0</v>
      </c>
      <c r="I71" s="184">
        <f ca="1">MATCH(0,OFFSET($D71,1,$C71,ROW($A$84)-ROW($A71)),0)</f>
        <v>13</v>
      </c>
      <c r="J71" s="184">
        <f ca="1">MATCH(OFFSET($D71,0,$C71)+1,OFFSET($D71,1,$C71,ROW($A$84)-ROW($A71)),0)</f>
        <v>3</v>
      </c>
      <c r="K71" s="185">
        <f ca="1">ROUND(INDEX(PO!T$12:T$134,MATCH($A71,PO!$V$12:$V$134,0)),2)+10^-12</f>
        <v>1E-12</v>
      </c>
      <c r="L71" s="374"/>
      <c r="M71" s="376"/>
      <c r="N71" s="378"/>
      <c r="O71" s="204" t="s">
        <v>20</v>
      </c>
      <c r="P71" s="199">
        <f aca="true" ca="1" t="shared" si="102" ref="P71:W71">IF($B71,ROUND(P70*$N69,2),ROUND(SUMIF(OFFSET($B71,1,0,$D71),TRUE,OFFSET(P71,1,0,$D71))/SUMIF(OFFSET($B71,1,0,$D71),TRUE,OFFSET($K71,1,0,$D71))*$N69,2))</f>
        <v>0</v>
      </c>
      <c r="Q71" s="169">
        <f ca="1" t="shared" si="102"/>
        <v>0</v>
      </c>
      <c r="R71" s="169">
        <f ca="1" t="shared" si="102"/>
        <v>0</v>
      </c>
      <c r="S71" s="169">
        <f ca="1" t="shared" si="102"/>
        <v>0</v>
      </c>
      <c r="T71" s="169">
        <f ca="1" t="shared" si="102"/>
        <v>0</v>
      </c>
      <c r="U71" s="169">
        <f ca="1" t="shared" si="102"/>
        <v>0</v>
      </c>
      <c r="V71" s="169">
        <f ca="1" t="shared" si="102"/>
        <v>0</v>
      </c>
      <c r="W71" s="207">
        <f ca="1" t="shared" si="102"/>
        <v>0</v>
      </c>
      <c r="X71" s="196"/>
      <c r="AC71" s="169">
        <f aca="true" ca="1" t="shared" si="103" ref="AC71">IF($B71,ROUND(AC70*$N69,2),ROUND(SUMIF(OFFSET($B71,1,0,$D71),TRUE,OFFSET(AC71,1,0,$D71))/SUMIF(OFFSET($B71,1,0,$D71),TRUE,OFFSET($K71,1,0,$D71))*$N69,2))</f>
        <v>0</v>
      </c>
    </row>
    <row r="72" spans="1:29" ht="14.25" customHeight="1">
      <c r="A72" s="82"/>
      <c r="B72" s="82"/>
      <c r="C72" s="82"/>
      <c r="D72" s="82"/>
      <c r="E72" s="82"/>
      <c r="F72" s="82"/>
      <c r="G72" s="82"/>
      <c r="H72" s="82"/>
      <c r="I72" s="82"/>
      <c r="J72" s="82"/>
      <c r="K72" s="82"/>
      <c r="L72" s="373" t="str">
        <f ca="1">INDEX(PO!K$12:K$134,MATCH($A74,PO!$V$12:$V$134,0))</f>
        <v>13.</v>
      </c>
      <c r="M72" s="375" t="str">
        <f ca="1">INDEX(PO!N$12:N$134,MATCH($A74,PO!$V$12:$V$134,0))</f>
        <v>INSTALAÇÕES ELÉTRICAS</v>
      </c>
      <c r="N72" s="377">
        <f aca="true" t="shared" si="104" ref="N72">IF(ROUND(K74,2)=0,K74,ROUND(K74,2))</f>
        <v>1E-12</v>
      </c>
      <c r="O72" s="220" t="s">
        <v>143</v>
      </c>
      <c r="P72" s="226">
        <f aca="true" t="shared" si="105" ref="P72">IF($B74,0,P73-IF(ISNUMBER(O73),O73,0))</f>
        <v>0</v>
      </c>
      <c r="Q72" s="227">
        <f aca="true" t="shared" si="106" ref="Q72">IF($B74,0,Q73-IF(ISNUMBER(P73),P73,0))</f>
        <v>0</v>
      </c>
      <c r="R72" s="227">
        <f aca="true" t="shared" si="107" ref="R72">IF($B74,0,R73-IF(ISNUMBER(Q73),Q73,0))</f>
        <v>0</v>
      </c>
      <c r="S72" s="227">
        <f aca="true" t="shared" si="108" ref="S72">IF($B74,0,S73-IF(ISNUMBER(R73),R73,0))</f>
        <v>0</v>
      </c>
      <c r="T72" s="227">
        <v>0</v>
      </c>
      <c r="U72" s="227">
        <v>0</v>
      </c>
      <c r="V72" s="227">
        <f aca="true" t="shared" si="109" ref="V72">IF($B74,0,V73-IF(ISNUMBER(U73),U73,0))</f>
        <v>0</v>
      </c>
      <c r="W72" s="228">
        <v>1</v>
      </c>
      <c r="X72" s="196"/>
      <c r="AC72" s="221">
        <f aca="true" t="shared" si="110" ref="AC72">IF($B74,0,AC73-IF(ISNUMBER(AB73),AB73,0))</f>
        <v>0</v>
      </c>
    </row>
    <row r="73" spans="1:29" ht="14.25">
      <c r="A73" s="184"/>
      <c r="B73" s="184"/>
      <c r="C73" s="184"/>
      <c r="D73" s="184"/>
      <c r="E73" s="184"/>
      <c r="F73" s="184"/>
      <c r="G73" s="184"/>
      <c r="H73" s="184"/>
      <c r="I73" s="184"/>
      <c r="J73" s="184"/>
      <c r="K73" s="184"/>
      <c r="L73" s="374"/>
      <c r="M73" s="376"/>
      <c r="N73" s="378"/>
      <c r="O73" s="170" t="s">
        <v>145</v>
      </c>
      <c r="P73" s="198">
        <f aca="true" t="shared" si="111" ref="P73">MIN(IF($B74,P72+IF(ISNUMBER(O73),O73,0),P74/$N72),1)</f>
        <v>0</v>
      </c>
      <c r="Q73" s="168">
        <f aca="true" t="shared" si="112" ref="Q73">MIN(IF($B74,Q72+IF(ISNUMBER(P73),P73,0),Q74/$N72),1)</f>
        <v>0</v>
      </c>
      <c r="R73" s="168">
        <f aca="true" t="shared" si="113" ref="R73">MIN(IF($B74,R72+IF(ISNUMBER(Q73),Q73,0),R74/$N72),1)</f>
        <v>0</v>
      </c>
      <c r="S73" s="168">
        <f aca="true" t="shared" si="114" ref="S73">MIN(IF($B74,S72+IF(ISNUMBER(R73),R73,0),S74/$N72),1)</f>
        <v>0</v>
      </c>
      <c r="T73" s="168">
        <f aca="true" t="shared" si="115" ref="T73">MIN(IF($B74,T72+IF(ISNUMBER(S73),S73,0),T74/$N72),1)</f>
        <v>0</v>
      </c>
      <c r="U73" s="168">
        <f aca="true" t="shared" si="116" ref="U73">MIN(IF($B74,U72+IF(ISNUMBER(T73),T73,0),U74/$N72),1)</f>
        <v>0</v>
      </c>
      <c r="V73" s="168">
        <f aca="true" t="shared" si="117" ref="V73">MIN(IF($B74,V72+IF(ISNUMBER(U73),U73,0),V74/$N72),1)</f>
        <v>0</v>
      </c>
      <c r="W73" s="168">
        <f aca="true" t="shared" si="118" ref="W73">MIN(IF($B74,W72+IF(ISNUMBER(V73),V73,0),W74/$N72),1)</f>
        <v>1</v>
      </c>
      <c r="X73" s="196"/>
      <c r="AC73" s="168">
        <f aca="true" t="shared" si="119" ref="AC73">MIN(IF($B74,AC72+IF(ISNUMBER(AB73),AB73,0),AC74/$N72),1)</f>
        <v>0</v>
      </c>
    </row>
    <row r="74" spans="1:29" ht="14.25">
      <c r="A74" s="184">
        <f ca="1">OFFSET(A74,-CFF.NumLinha,0)+1</f>
        <v>19</v>
      </c>
      <c r="B74" s="184" t="b">
        <f ca="1">$C74&gt;=OFFSET($C74,CFF.NumLinha,0)</f>
        <v>1</v>
      </c>
      <c r="C74" s="184">
        <f ca="1">INDEX(PO!A$12:A$134,MATCH($A74,PO!$V$12:$V$134,0))</f>
        <v>1</v>
      </c>
      <c r="D74" s="184">
        <f aca="true" t="shared" si="120" ref="D74">IF(ISERROR(J74),I74,SMALL(I74:J74,1))-1</f>
        <v>2</v>
      </c>
      <c r="E74" s="184">
        <f ca="1">IF($C74=1,OFFSET(E74,-CFF.NumLinha,0)+1,OFFSET(E74,-CFF.NumLinha,0))</f>
        <v>13</v>
      </c>
      <c r="F74" s="184">
        <f ca="1">IF($C74=1,0,IF($C74=2,OFFSET(F74,-CFF.NumLinha,0)+1,OFFSET(F74,-CFF.NumLinha,0)))</f>
        <v>0</v>
      </c>
      <c r="G74" s="184">
        <f ca="1">IF(AND($C74&lt;=2,$C74&lt;&gt;0),0,IF($C74=3,OFFSET(G74,-CFF.NumLinha,0)+1,OFFSET(G74,-CFF.NumLinha,0)))</f>
        <v>0</v>
      </c>
      <c r="H74" s="184">
        <f ca="1">IF(AND($C74&lt;=3,$C74&lt;&gt;0),0,IF($C74=4,OFFSET(H74,-CFF.NumLinha,0)+1,OFFSET(H74,-CFF.NumLinha,0)))</f>
        <v>0</v>
      </c>
      <c r="I74" s="184">
        <f ca="1">MATCH(0,OFFSET($D74,1,$C74,ROW($A$84)-ROW($A74)),0)</f>
        <v>10</v>
      </c>
      <c r="J74" s="184">
        <f ca="1">MATCH(OFFSET($D74,0,$C74)+1,OFFSET($D74,1,$C74,ROW($A$84)-ROW($A74)),0)</f>
        <v>3</v>
      </c>
      <c r="K74" s="185">
        <f ca="1">ROUND(INDEX(PO!T$12:T$134,MATCH($A74,PO!$V$12:$V$134,0)),2)+10^-12</f>
        <v>1E-12</v>
      </c>
      <c r="L74" s="374"/>
      <c r="M74" s="376"/>
      <c r="N74" s="378"/>
      <c r="O74" s="204" t="s">
        <v>20</v>
      </c>
      <c r="P74" s="199">
        <f aca="true" ca="1" t="shared" si="121" ref="P74:W74">IF($B74,ROUND(P73*$N72,2),ROUND(SUMIF(OFFSET($B74,1,0,$D74),TRUE,OFFSET(P74,1,0,$D74))/SUMIF(OFFSET($B74,1,0,$D74),TRUE,OFFSET($K74,1,0,$D74))*$N72,2))</f>
        <v>0</v>
      </c>
      <c r="Q74" s="169">
        <f ca="1" t="shared" si="121"/>
        <v>0</v>
      </c>
      <c r="R74" s="169">
        <f ca="1" t="shared" si="121"/>
        <v>0</v>
      </c>
      <c r="S74" s="169">
        <f ca="1" t="shared" si="121"/>
        <v>0</v>
      </c>
      <c r="T74" s="169">
        <f ca="1" t="shared" si="121"/>
        <v>0</v>
      </c>
      <c r="U74" s="169">
        <f ca="1" t="shared" si="121"/>
        <v>0</v>
      </c>
      <c r="V74" s="169">
        <f ca="1" t="shared" si="121"/>
        <v>0</v>
      </c>
      <c r="W74" s="207">
        <f ca="1" t="shared" si="121"/>
        <v>0</v>
      </c>
      <c r="X74" s="196"/>
      <c r="AC74" s="169">
        <f aca="true" ca="1" t="shared" si="122" ref="AC74">IF($B74,ROUND(AC73*$N72,2),ROUND(SUMIF(OFFSET($B74,1,0,$D74),TRUE,OFFSET(AC74,1,0,$D74))/SUMIF(OFFSET($B74,1,0,$D74),TRUE,OFFSET($K74,1,0,$D74))*$N72,2))</f>
        <v>0</v>
      </c>
    </row>
    <row r="75" spans="1:29" ht="14.25" customHeight="1">
      <c r="A75" s="82"/>
      <c r="B75" s="82"/>
      <c r="C75" s="82"/>
      <c r="D75" s="82"/>
      <c r="E75" s="82"/>
      <c r="F75" s="82"/>
      <c r="G75" s="82"/>
      <c r="H75" s="82"/>
      <c r="I75" s="82"/>
      <c r="J75" s="82"/>
      <c r="K75" s="82"/>
      <c r="L75" s="373" t="str">
        <f ca="1">INDEX(PO!K$12:K$134,MATCH($A77,PO!$V$12:$V$134,0))</f>
        <v>14.</v>
      </c>
      <c r="M75" s="375" t="str">
        <f ca="1">INDEX(PO!N$12:N$134,MATCH($A77,PO!$V$12:$V$134,0))</f>
        <v>PINTURA</v>
      </c>
      <c r="N75" s="377">
        <f aca="true" t="shared" si="123" ref="N75">IF(ROUND(K77,2)=0,K77,ROUND(K77,2))</f>
        <v>1E-12</v>
      </c>
      <c r="O75" s="220" t="s">
        <v>143</v>
      </c>
      <c r="P75" s="226">
        <f aca="true" t="shared" si="124" ref="P75">IF($B77,0,P76-IF(ISNUMBER(O76),O76,0))</f>
        <v>0</v>
      </c>
      <c r="Q75" s="227">
        <f aca="true" t="shared" si="125" ref="Q75">IF($B77,0,Q76-IF(ISNUMBER(P76),P76,0))</f>
        <v>0</v>
      </c>
      <c r="R75" s="227">
        <f aca="true" t="shared" si="126" ref="R75">IF($B77,0,R76-IF(ISNUMBER(Q76),Q76,0))</f>
        <v>0</v>
      </c>
      <c r="S75" s="227">
        <f aca="true" t="shared" si="127" ref="S75">IF($B77,0,S76-IF(ISNUMBER(R76),R76,0))</f>
        <v>0</v>
      </c>
      <c r="T75" s="227">
        <v>1</v>
      </c>
      <c r="U75" s="227">
        <v>0</v>
      </c>
      <c r="V75" s="227">
        <v>0</v>
      </c>
      <c r="W75" s="228">
        <v>0</v>
      </c>
      <c r="X75" s="196"/>
      <c r="AC75" s="221">
        <f aca="true" t="shared" si="128" ref="AC75">IF($B77,0,AC76-IF(ISNUMBER(AB76),AB76,0))</f>
        <v>0</v>
      </c>
    </row>
    <row r="76" spans="1:29" ht="14.25">
      <c r="A76" s="184"/>
      <c r="B76" s="184"/>
      <c r="C76" s="184"/>
      <c r="D76" s="184"/>
      <c r="E76" s="184"/>
      <c r="F76" s="184"/>
      <c r="G76" s="184"/>
      <c r="H76" s="184"/>
      <c r="I76" s="184"/>
      <c r="J76" s="184"/>
      <c r="K76" s="184"/>
      <c r="L76" s="374"/>
      <c r="M76" s="376"/>
      <c r="N76" s="378"/>
      <c r="O76" s="170" t="s">
        <v>145</v>
      </c>
      <c r="P76" s="198">
        <f aca="true" t="shared" si="129" ref="P76">MIN(IF($B77,P75+IF(ISNUMBER(O76),O76,0),P77/$N75),1)</f>
        <v>0</v>
      </c>
      <c r="Q76" s="168">
        <f aca="true" t="shared" si="130" ref="Q76">MIN(IF($B77,Q75+IF(ISNUMBER(P76),P76,0),Q77/$N75),1)</f>
        <v>0</v>
      </c>
      <c r="R76" s="168">
        <f aca="true" t="shared" si="131" ref="R76">MIN(IF($B77,R75+IF(ISNUMBER(Q76),Q76,0),R77/$N75),1)</f>
        <v>0</v>
      </c>
      <c r="S76" s="168">
        <f aca="true" t="shared" si="132" ref="S76">MIN(IF($B77,S75+IF(ISNUMBER(R76),R76,0),S77/$N75),1)</f>
        <v>0</v>
      </c>
      <c r="T76" s="168">
        <f aca="true" t="shared" si="133" ref="T76">MIN(IF($B77,T75+IF(ISNUMBER(S76),S76,0),T77/$N75),1)</f>
        <v>0</v>
      </c>
      <c r="U76" s="168">
        <f aca="true" t="shared" si="134" ref="U76">MIN(IF($B77,U75+IF(ISNUMBER(T76),T76,0),U77/$N75),1)</f>
        <v>0</v>
      </c>
      <c r="V76" s="168">
        <f aca="true" t="shared" si="135" ref="V76">MIN(IF($B77,V75+IF(ISNUMBER(U76),U76,0),V77/$N75),1)</f>
        <v>0</v>
      </c>
      <c r="W76" s="168">
        <f aca="true" t="shared" si="136" ref="W76">MIN(IF($B77,W75+IF(ISNUMBER(V76),V76,0),W77/$N75),1)</f>
        <v>0</v>
      </c>
      <c r="X76" s="196"/>
      <c r="AC76" s="168">
        <f aca="true" t="shared" si="137" ref="AC76">MIN(IF($B77,AC75+IF(ISNUMBER(AB76),AB76,0),AC77/$N75),1)</f>
        <v>0</v>
      </c>
    </row>
    <row r="77" spans="1:29" ht="14.25">
      <c r="A77" s="184">
        <f ca="1">OFFSET(A77,-CFF.NumLinha,0)+1</f>
        <v>20</v>
      </c>
      <c r="B77" s="184" t="b">
        <f ca="1">$C77&gt;=OFFSET($C77,CFF.NumLinha,0)</f>
        <v>0</v>
      </c>
      <c r="C77" s="184">
        <f ca="1">INDEX(PO!A$12:A$134,MATCH($A77,PO!$V$12:$V$134,0))</f>
        <v>1</v>
      </c>
      <c r="D77" s="184">
        <f aca="true" t="shared" si="138" ref="D77">IF(ISERROR(J77),I77,SMALL(I77:J77,1))-1</f>
        <v>5</v>
      </c>
      <c r="E77" s="184">
        <f ca="1">IF($C77=1,OFFSET(E77,-CFF.NumLinha,0)+1,OFFSET(E77,-CFF.NumLinha,0))</f>
        <v>14</v>
      </c>
      <c r="F77" s="184">
        <f ca="1">IF($C77=1,0,IF($C77=2,OFFSET(F77,-CFF.NumLinha,0)+1,OFFSET(F77,-CFF.NumLinha,0)))</f>
        <v>0</v>
      </c>
      <c r="G77" s="184">
        <f ca="1">IF(AND($C77&lt;=2,$C77&lt;&gt;0),0,IF($C77=3,OFFSET(G77,-CFF.NumLinha,0)+1,OFFSET(G77,-CFF.NumLinha,0)))</f>
        <v>0</v>
      </c>
      <c r="H77" s="184">
        <f ca="1">IF(AND($C77&lt;=3,$C77&lt;&gt;0),0,IF($C77=4,OFFSET(H77,-CFF.NumLinha,0)+1,OFFSET(H77,-CFF.NumLinha,0)))</f>
        <v>0</v>
      </c>
      <c r="I77" s="184">
        <f ca="1">MATCH(0,OFFSET($D77,1,$C77,ROW($A$84)-ROW($A77)),0)</f>
        <v>7</v>
      </c>
      <c r="J77" s="184">
        <f ca="1">MATCH(OFFSET($D77,0,$C77)+1,OFFSET($D77,1,$C77,ROW($A$84)-ROW($A77)),0)</f>
        <v>6</v>
      </c>
      <c r="K77" s="185">
        <f ca="1">ROUND(INDEX(PO!T$12:T$134,MATCH($A77,PO!$V$12:$V$134,0)),2)+10^-12</f>
        <v>1E-12</v>
      </c>
      <c r="L77" s="374"/>
      <c r="M77" s="376"/>
      <c r="N77" s="378"/>
      <c r="O77" s="204" t="s">
        <v>20</v>
      </c>
      <c r="P77" s="199">
        <f aca="true" ca="1" t="shared" si="139" ref="P77:W77">IF($B77,ROUND(P76*$N75,2),ROUND(SUMIF(OFFSET($B77,1,0,$D77),TRUE,OFFSET(P77,1,0,$D77))/SUMIF(OFFSET($B77,1,0,$D77),TRUE,OFFSET($K77,1,0,$D77))*$N75,2))</f>
        <v>0</v>
      </c>
      <c r="Q77" s="169">
        <f ca="1" t="shared" si="139"/>
        <v>0</v>
      </c>
      <c r="R77" s="169">
        <f ca="1" t="shared" si="139"/>
        <v>0</v>
      </c>
      <c r="S77" s="169">
        <f ca="1" t="shared" si="139"/>
        <v>0</v>
      </c>
      <c r="T77" s="169">
        <f ca="1" t="shared" si="139"/>
        <v>0</v>
      </c>
      <c r="U77" s="169">
        <f ca="1" t="shared" si="139"/>
        <v>0</v>
      </c>
      <c r="V77" s="169">
        <f ca="1" t="shared" si="139"/>
        <v>0</v>
      </c>
      <c r="W77" s="207">
        <f ca="1" t="shared" si="139"/>
        <v>0</v>
      </c>
      <c r="X77" s="196"/>
      <c r="AC77" s="169">
        <f aca="true" ca="1" t="shared" si="140" ref="AC77">IF($B77,ROUND(AC76*$N75,2),ROUND(SUMIF(OFFSET($B77,1,0,$D77),TRUE,OFFSET(AC77,1,0,$D77))/SUMIF(OFFSET($B77,1,0,$D77),TRUE,OFFSET($K77,1,0,$D77))*$N75,2))</f>
        <v>0</v>
      </c>
    </row>
    <row r="78" spans="1:29" ht="14.25" customHeight="1">
      <c r="A78" s="82"/>
      <c r="B78" s="82"/>
      <c r="C78" s="82"/>
      <c r="D78" s="82"/>
      <c r="E78" s="82"/>
      <c r="F78" s="82"/>
      <c r="G78" s="82"/>
      <c r="H78" s="82"/>
      <c r="I78" s="82"/>
      <c r="J78" s="82"/>
      <c r="K78" s="82"/>
      <c r="L78" s="373" t="str">
        <f ca="1">INDEX(PO!K$12:K$134,MATCH($A80,PO!$V$12:$V$134,0))</f>
        <v>14.1.</v>
      </c>
      <c r="M78" s="375" t="str">
        <f ca="1">INDEX(PO!N$12:N$134,MATCH($A80,PO!$V$12:$V$134,0))</f>
        <v>PINTURA EM MADEIRAS RÚSTICAS</v>
      </c>
      <c r="N78" s="377">
        <f aca="true" t="shared" si="141" ref="N78">IF(ROUND(K80,2)=0,K80,ROUND(K80,2))</f>
        <v>1E-12</v>
      </c>
      <c r="O78" s="220" t="s">
        <v>143</v>
      </c>
      <c r="P78" s="226">
        <f aca="true" t="shared" si="142" ref="P78">IF($B80,0,P79-IF(ISNUMBER(O79),O79,0))</f>
        <v>0</v>
      </c>
      <c r="Q78" s="227">
        <f aca="true" t="shared" si="143" ref="Q78">IF($B80,0,Q79-IF(ISNUMBER(P79),P79,0))</f>
        <v>0</v>
      </c>
      <c r="R78" s="227">
        <f aca="true" t="shared" si="144" ref="R78">IF($B80,0,R79-IF(ISNUMBER(Q79),Q79,0))</f>
        <v>0</v>
      </c>
      <c r="S78" s="227">
        <f aca="true" t="shared" si="145" ref="S78">IF($B80,0,S79-IF(ISNUMBER(R79),R79,0))</f>
        <v>0</v>
      </c>
      <c r="T78" s="227">
        <v>0</v>
      </c>
      <c r="U78" s="227">
        <v>0</v>
      </c>
      <c r="V78" s="227">
        <v>0</v>
      </c>
      <c r="W78" s="228">
        <v>1</v>
      </c>
      <c r="X78" s="196"/>
      <c r="AC78" s="221">
        <f aca="true" t="shared" si="146" ref="AC78">IF($B80,0,AC79-IF(ISNUMBER(AB79),AB79,0))</f>
        <v>0</v>
      </c>
    </row>
    <row r="79" spans="1:29" ht="14.25">
      <c r="A79" s="184"/>
      <c r="B79" s="184"/>
      <c r="C79" s="184"/>
      <c r="D79" s="184"/>
      <c r="E79" s="184"/>
      <c r="F79" s="184"/>
      <c r="G79" s="184"/>
      <c r="H79" s="184"/>
      <c r="I79" s="184"/>
      <c r="J79" s="184"/>
      <c r="K79" s="184"/>
      <c r="L79" s="374"/>
      <c r="M79" s="376"/>
      <c r="N79" s="378"/>
      <c r="O79" s="170" t="s">
        <v>145</v>
      </c>
      <c r="P79" s="198">
        <f aca="true" t="shared" si="147" ref="P79">MIN(IF($B80,P78+IF(ISNUMBER(O79),O79,0),P80/$N78),1)</f>
        <v>0</v>
      </c>
      <c r="Q79" s="168">
        <f aca="true" t="shared" si="148" ref="Q79">MIN(IF($B80,Q78+IF(ISNUMBER(P79),P79,0),Q80/$N78),1)</f>
        <v>0</v>
      </c>
      <c r="R79" s="168">
        <f aca="true" t="shared" si="149" ref="R79">MIN(IF($B80,R78+IF(ISNUMBER(Q79),Q79,0),R80/$N78),1)</f>
        <v>0</v>
      </c>
      <c r="S79" s="168">
        <f aca="true" t="shared" si="150" ref="S79">MIN(IF($B80,S78+IF(ISNUMBER(R79),R79,0),S80/$N78),1)</f>
        <v>0</v>
      </c>
      <c r="T79" s="168">
        <f aca="true" t="shared" si="151" ref="T79">MIN(IF($B80,T78+IF(ISNUMBER(S79),S79,0),T80/$N78),1)</f>
        <v>0</v>
      </c>
      <c r="U79" s="168">
        <f aca="true" t="shared" si="152" ref="U79">MIN(IF($B80,U78+IF(ISNUMBER(T79),T79,0),U80/$N78),1)</f>
        <v>0</v>
      </c>
      <c r="V79" s="168">
        <f aca="true" t="shared" si="153" ref="V79">MIN(IF($B80,V78+IF(ISNUMBER(U79),U79,0),V80/$N78),1)</f>
        <v>0</v>
      </c>
      <c r="W79" s="168">
        <f aca="true" t="shared" si="154" ref="W79">MIN(IF($B80,W78+IF(ISNUMBER(V79),V79,0),W80/$N78),1)</f>
        <v>1</v>
      </c>
      <c r="X79" s="196"/>
      <c r="AC79" s="168">
        <f aca="true" t="shared" si="155" ref="AC79">MIN(IF($B80,AC78+IF(ISNUMBER(AB79),AB79,0),AC80/$N78),1)</f>
        <v>0</v>
      </c>
    </row>
    <row r="80" spans="1:29" ht="14.25">
      <c r="A80" s="184">
        <f ca="1">OFFSET(A80,-CFF.NumLinha,0)+1</f>
        <v>21</v>
      </c>
      <c r="B80" s="184" t="b">
        <f ca="1">$C80&gt;=OFFSET($C80,CFF.NumLinha,0)</f>
        <v>1</v>
      </c>
      <c r="C80" s="184">
        <f ca="1">INDEX(PO!A$12:A$134,MATCH($A80,PO!$V$12:$V$134,0))</f>
        <v>2</v>
      </c>
      <c r="D80" s="184">
        <f aca="true" t="shared" si="156" ref="D80">IF(ISERROR(J80),I80,SMALL(I80:J80,1))-1</f>
        <v>2</v>
      </c>
      <c r="E80" s="184">
        <f ca="1">IF($C80=1,OFFSET(E80,-CFF.NumLinha,0)+1,OFFSET(E80,-CFF.NumLinha,0))</f>
        <v>14</v>
      </c>
      <c r="F80" s="184">
        <f ca="1">IF($C80=1,0,IF($C80=2,OFFSET(F80,-CFF.NumLinha,0)+1,OFFSET(F80,-CFF.NumLinha,0)))</f>
        <v>1</v>
      </c>
      <c r="G80" s="184">
        <f ca="1">IF(AND($C80&lt;=2,$C80&lt;&gt;0),0,IF($C80=3,OFFSET(G80,-CFF.NumLinha,0)+1,OFFSET(G80,-CFF.NumLinha,0)))</f>
        <v>0</v>
      </c>
      <c r="H80" s="184">
        <f ca="1">IF(AND($C80&lt;=3,$C80&lt;&gt;0),0,IF($C80=4,OFFSET(H80,-CFF.NumLinha,0)+1,OFFSET(H80,-CFF.NumLinha,0)))</f>
        <v>0</v>
      </c>
      <c r="I80" s="184">
        <f ca="1">MATCH(0,OFFSET($D80,1,$C80,ROW($A$84)-ROW($A80)),0)</f>
        <v>3</v>
      </c>
      <c r="J80" s="184" t="e">
        <f ca="1">MATCH(OFFSET($D80,0,$C80)+1,OFFSET($D80,1,$C80,ROW($A$84)-ROW($A80)),0)</f>
        <v>#N/A</v>
      </c>
      <c r="K80" s="185">
        <f ca="1">ROUND(INDEX(PO!T$12:T$134,MATCH($A80,PO!$V$12:$V$134,0)),2)+10^-12</f>
        <v>1E-12</v>
      </c>
      <c r="L80" s="374"/>
      <c r="M80" s="376"/>
      <c r="N80" s="378"/>
      <c r="O80" s="204" t="s">
        <v>20</v>
      </c>
      <c r="P80" s="199">
        <f aca="true" ca="1" t="shared" si="157" ref="P80:W80">IF($B80,ROUND(P79*$N78,2),ROUND(SUMIF(OFFSET($B80,1,0,$D80),TRUE,OFFSET(P80,1,0,$D80))/SUMIF(OFFSET($B80,1,0,$D80),TRUE,OFFSET($K80,1,0,$D80))*$N78,2))</f>
        <v>0</v>
      </c>
      <c r="Q80" s="169">
        <f ca="1" t="shared" si="157"/>
        <v>0</v>
      </c>
      <c r="R80" s="169">
        <f ca="1" t="shared" si="157"/>
        <v>0</v>
      </c>
      <c r="S80" s="169">
        <f ca="1" t="shared" si="157"/>
        <v>0</v>
      </c>
      <c r="T80" s="169">
        <f ca="1" t="shared" si="157"/>
        <v>0</v>
      </c>
      <c r="U80" s="169">
        <f ca="1" t="shared" si="157"/>
        <v>0</v>
      </c>
      <c r="V80" s="169">
        <f ca="1" t="shared" si="157"/>
        <v>0</v>
      </c>
      <c r="W80" s="207">
        <f ca="1" t="shared" si="157"/>
        <v>0</v>
      </c>
      <c r="X80" s="196"/>
      <c r="AC80" s="169">
        <f aca="true" ca="1" t="shared" si="158" ref="AC80">IF($B80,ROUND(AC79*$N78,2),ROUND(SUMIF(OFFSET($B80,1,0,$D80),TRUE,OFFSET(AC80,1,0,$D80))/SUMIF(OFFSET($B80,1,0,$D80),TRUE,OFFSET($K80,1,0,$D80))*$N78,2))</f>
        <v>0</v>
      </c>
    </row>
    <row r="81" spans="1:29" ht="14.25" customHeight="1">
      <c r="A81" s="82"/>
      <c r="B81" s="82"/>
      <c r="C81" s="82"/>
      <c r="D81" s="82"/>
      <c r="E81" s="82"/>
      <c r="F81" s="82"/>
      <c r="G81" s="82"/>
      <c r="H81" s="82"/>
      <c r="I81" s="82"/>
      <c r="J81" s="82"/>
      <c r="K81" s="82"/>
      <c r="L81" s="373" t="str">
        <f ca="1">INDEX(PO!K$12:K$134,MATCH($A83,PO!$V$12:$V$134,0))</f>
        <v>15.</v>
      </c>
      <c r="M81" s="375" t="str">
        <f ca="1">INDEX(PO!N$12:N$134,MATCH($A83,PO!$V$12:$V$134,0))</f>
        <v>COLOCAÇÃO DE ESQUADRIAS</v>
      </c>
      <c r="N81" s="377">
        <f aca="true" t="shared" si="159" ref="N81">IF(ROUND(K83,2)=0,K83,ROUND(K83,2))</f>
        <v>1E-12</v>
      </c>
      <c r="O81" s="220" t="s">
        <v>143</v>
      </c>
      <c r="P81" s="226">
        <f aca="true" t="shared" si="160" ref="P81">IF($B83,0,P82-IF(ISNUMBER(O82),O82,0))</f>
        <v>0</v>
      </c>
      <c r="Q81" s="227">
        <f aca="true" t="shared" si="161" ref="Q81">IF($B83,0,Q82-IF(ISNUMBER(P82),P82,0))</f>
        <v>0</v>
      </c>
      <c r="R81" s="227">
        <f aca="true" t="shared" si="162" ref="R81">IF($B83,0,R82-IF(ISNUMBER(Q82),Q82,0))</f>
        <v>0</v>
      </c>
      <c r="S81" s="227">
        <f aca="true" t="shared" si="163" ref="S81">IF($B83,0,S82-IF(ISNUMBER(R82),R82,0))</f>
        <v>0</v>
      </c>
      <c r="T81" s="227">
        <f aca="true" t="shared" si="164" ref="T81">IF($B83,0,T82-IF(ISNUMBER(S82),S82,0))</f>
        <v>0</v>
      </c>
      <c r="U81" s="227">
        <v>0.5</v>
      </c>
      <c r="V81" s="227">
        <v>0.5</v>
      </c>
      <c r="W81" s="228">
        <v>0</v>
      </c>
      <c r="X81" s="196"/>
      <c r="AC81" s="221">
        <f aca="true" t="shared" si="165" ref="AC81">IF($B83,0,AC82-IF(ISNUMBER(AB82),AB82,0))</f>
        <v>0</v>
      </c>
    </row>
    <row r="82" spans="1:29" ht="14.25">
      <c r="A82" s="184"/>
      <c r="B82" s="184"/>
      <c r="C82" s="184"/>
      <c r="D82" s="184"/>
      <c r="E82" s="184"/>
      <c r="F82" s="184"/>
      <c r="G82" s="184"/>
      <c r="H82" s="184"/>
      <c r="I82" s="184"/>
      <c r="J82" s="184"/>
      <c r="K82" s="184"/>
      <c r="L82" s="374"/>
      <c r="M82" s="376"/>
      <c r="N82" s="378"/>
      <c r="O82" s="170" t="s">
        <v>145</v>
      </c>
      <c r="P82" s="198">
        <f aca="true" t="shared" si="166" ref="P82">MIN(IF($B83,P81+IF(ISNUMBER(O82),O82,0),P83/$N81),1)</f>
        <v>0</v>
      </c>
      <c r="Q82" s="168">
        <f aca="true" t="shared" si="167" ref="Q82">MIN(IF($B83,Q81+IF(ISNUMBER(P82),P82,0),Q83/$N81),1)</f>
        <v>0</v>
      </c>
      <c r="R82" s="168">
        <f aca="true" t="shared" si="168" ref="R82">MIN(IF($B83,R81+IF(ISNUMBER(Q82),Q82,0),R83/$N81),1)</f>
        <v>0</v>
      </c>
      <c r="S82" s="168">
        <f aca="true" t="shared" si="169" ref="S82">MIN(IF($B83,S81+IF(ISNUMBER(R82),R82,0),S83/$N81),1)</f>
        <v>0</v>
      </c>
      <c r="T82" s="168">
        <f aca="true" t="shared" si="170" ref="T82">MIN(IF($B83,T81+IF(ISNUMBER(S82),S82,0),T83/$N81),1)</f>
        <v>0</v>
      </c>
      <c r="U82" s="168">
        <f aca="true" t="shared" si="171" ref="U82">MIN(IF($B83,U81+IF(ISNUMBER(T82),T82,0),U83/$N81),1)</f>
        <v>0.5</v>
      </c>
      <c r="V82" s="168">
        <f aca="true" t="shared" si="172" ref="V82">MIN(IF($B83,V81+IF(ISNUMBER(U82),U82,0),V83/$N81),1)</f>
        <v>1</v>
      </c>
      <c r="W82" s="168">
        <f aca="true" t="shared" si="173" ref="W82">MIN(IF($B83,W81+IF(ISNUMBER(V82),V82,0),W83/$N81),1)</f>
        <v>1</v>
      </c>
      <c r="X82" s="196"/>
      <c r="AC82" s="168">
        <f aca="true" t="shared" si="174" ref="AC82">MIN(IF($B83,AC81+IF(ISNUMBER(AB82),AB82,0),AC83/$N81),1)</f>
        <v>0</v>
      </c>
    </row>
    <row r="83" spans="1:29" ht="14.25">
      <c r="A83" s="184">
        <f ca="1">OFFSET(A83,-CFF.NumLinha,0)+1</f>
        <v>22</v>
      </c>
      <c r="B83" s="184" t="b">
        <f ca="1">$C83&gt;=OFFSET($C83,CFF.NumLinha,0)</f>
        <v>1</v>
      </c>
      <c r="C83" s="184">
        <f ca="1">INDEX(PO!A$12:A$134,MATCH($A83,PO!$V$12:$V$134,0))</f>
        <v>1</v>
      </c>
      <c r="D83" s="184">
        <f aca="true" t="shared" si="175" ref="D83">IF(ISERROR(J83),I83,SMALL(I83:J83,1))-1</f>
        <v>0</v>
      </c>
      <c r="E83" s="184">
        <f ca="1">IF($C83=1,OFFSET(E83,-CFF.NumLinha,0)+1,OFFSET(E83,-CFF.NumLinha,0))</f>
        <v>15</v>
      </c>
      <c r="F83" s="184">
        <f ca="1">IF($C83=1,0,IF($C83=2,OFFSET(F83,-CFF.NumLinha,0)+1,OFFSET(F83,-CFF.NumLinha,0)))</f>
        <v>0</v>
      </c>
      <c r="G83" s="184">
        <f ca="1">IF(AND($C83&lt;=2,$C83&lt;&gt;0),0,IF($C83=3,OFFSET(G83,-CFF.NumLinha,0)+1,OFFSET(G83,-CFF.NumLinha,0)))</f>
        <v>0</v>
      </c>
      <c r="H83" s="184">
        <f ca="1">IF(AND($C83&lt;=3,$C83&lt;&gt;0),0,IF($C83=4,OFFSET(H83,-CFF.NumLinha,0)+1,OFFSET(H83,-CFF.NumLinha,0)))</f>
        <v>0</v>
      </c>
      <c r="I83" s="184">
        <f ca="1">MATCH(0,OFFSET($D83,1,$C83,ROW($A$84)-ROW($A83)),0)</f>
        <v>1</v>
      </c>
      <c r="J83" s="184" t="e">
        <f ca="1">MATCH(OFFSET($D83,0,$C83)+1,OFFSET($D83,1,$C83,ROW($A$84)-ROW($A83)),0)</f>
        <v>#N/A</v>
      </c>
      <c r="K83" s="185">
        <f ca="1">ROUND(INDEX(PO!T$12:T$134,MATCH($A83,PO!$V$12:$V$134,0)),2)+10^-12</f>
        <v>1E-12</v>
      </c>
      <c r="L83" s="374"/>
      <c r="M83" s="376"/>
      <c r="N83" s="378"/>
      <c r="O83" s="204" t="s">
        <v>20</v>
      </c>
      <c r="P83" s="199">
        <f aca="true" ca="1" t="shared" si="176" ref="P83:W83">IF($B83,ROUND(P82*$N81,2),ROUND(SUMIF(OFFSET($B83,1,0,$D83),TRUE,OFFSET(P83,1,0,$D83))/SUMIF(OFFSET($B83,1,0,$D83),TRUE,OFFSET($K83,1,0,$D83))*$N81,2))</f>
        <v>0</v>
      </c>
      <c r="Q83" s="169">
        <f ca="1" t="shared" si="176"/>
        <v>0</v>
      </c>
      <c r="R83" s="169">
        <f ca="1" t="shared" si="176"/>
        <v>0</v>
      </c>
      <c r="S83" s="169">
        <f ca="1" t="shared" si="176"/>
        <v>0</v>
      </c>
      <c r="T83" s="169">
        <f ca="1" t="shared" si="176"/>
        <v>0</v>
      </c>
      <c r="U83" s="169">
        <f ca="1" t="shared" si="176"/>
        <v>0</v>
      </c>
      <c r="V83" s="169">
        <f ca="1" t="shared" si="176"/>
        <v>0</v>
      </c>
      <c r="W83" s="207">
        <f ca="1" t="shared" si="176"/>
        <v>0</v>
      </c>
      <c r="X83" s="196"/>
      <c r="AC83" s="169">
        <f aca="true" ca="1" t="shared" si="177" ref="AC83">IF($B83,ROUND(AC82*$N81,2),ROUND(SUMIF(OFFSET($B83,1,0,$D83),TRUE,OFFSET(AC83,1,0,$D83))/SUMIF(OFFSET($B83,1,0,$D83),TRUE,OFFSET($K83,1,0,$D83))*$N81,2))</f>
        <v>0</v>
      </c>
    </row>
    <row r="84" spans="1:29" s="45" customFormat="1" ht="12.75" customHeight="1">
      <c r="A84" s="1"/>
      <c r="B84" s="1"/>
      <c r="C84" s="184">
        <v>-1</v>
      </c>
      <c r="D84" s="184"/>
      <c r="E84" s="184">
        <v>0</v>
      </c>
      <c r="F84" s="184">
        <v>0</v>
      </c>
      <c r="G84" s="184">
        <v>0</v>
      </c>
      <c r="H84" s="184">
        <v>0</v>
      </c>
      <c r="I84" s="1"/>
      <c r="J84" s="1"/>
      <c r="K84" s="1"/>
      <c r="L84" s="154"/>
      <c r="M84" s="154"/>
      <c r="N84" s="155"/>
      <c r="O84" s="154"/>
      <c r="P84" s="154"/>
      <c r="Q84" s="155"/>
      <c r="R84" s="154"/>
      <c r="S84" s="154"/>
      <c r="T84" s="154"/>
      <c r="U84" s="154"/>
      <c r="V84" s="154"/>
      <c r="W84" s="154"/>
      <c r="X84" s="186"/>
      <c r="AC84" s="154"/>
    </row>
    <row r="85" spans="1:29" ht="12" customHeight="1">
      <c r="A85" s="1"/>
      <c r="B85" s="1"/>
      <c r="C85" s="1"/>
      <c r="D85" s="1"/>
      <c r="E85" s="1"/>
      <c r="F85" s="1"/>
      <c r="G85" s="1"/>
      <c r="H85" s="1"/>
      <c r="I85" s="1"/>
      <c r="J85" s="1"/>
      <c r="K85" s="1"/>
      <c r="L85" s="187"/>
      <c r="M85" s="187"/>
      <c r="N85" s="187"/>
      <c r="O85" s="187"/>
      <c r="P85" s="187"/>
      <c r="Q85" s="187"/>
      <c r="R85" s="187"/>
      <c r="S85" s="187"/>
      <c r="T85" s="187"/>
      <c r="U85" s="187"/>
      <c r="V85" s="187"/>
      <c r="W85" s="187"/>
      <c r="X85" s="188"/>
      <c r="AC85" s="187"/>
    </row>
    <row r="86" spans="1:29" ht="12.75">
      <c r="A86" s="1"/>
      <c r="B86" s="1"/>
      <c r="C86" s="1"/>
      <c r="D86" s="1"/>
      <c r="E86" s="1"/>
      <c r="F86" s="1"/>
      <c r="G86" s="1"/>
      <c r="H86" s="1"/>
      <c r="I86" s="1"/>
      <c r="J86" s="1"/>
      <c r="K86" s="1"/>
      <c r="L86" s="382">
        <f>DADOS!I32</f>
        <v>0</v>
      </c>
      <c r="M86" s="382"/>
      <c r="N86" s="382"/>
      <c r="O86" s="187"/>
      <c r="P86" s="189"/>
      <c r="Q86" s="379"/>
      <c r="R86" s="379"/>
      <c r="S86" s="379"/>
      <c r="T86" s="187"/>
      <c r="U86" s="187"/>
      <c r="V86" s="187"/>
      <c r="W86" s="187"/>
      <c r="X86" s="188"/>
      <c r="AC86" s="187"/>
    </row>
    <row r="87" spans="1:29" ht="12.75">
      <c r="A87" s="1"/>
      <c r="B87" s="1"/>
      <c r="C87" s="1"/>
      <c r="D87" s="1"/>
      <c r="E87" s="1"/>
      <c r="F87" s="1"/>
      <c r="G87" s="1"/>
      <c r="H87" s="1"/>
      <c r="I87" s="1"/>
      <c r="J87" s="1"/>
      <c r="K87" s="1"/>
      <c r="L87" s="190" t="s">
        <v>120</v>
      </c>
      <c r="M87" s="381"/>
      <c r="N87" s="381"/>
      <c r="O87" s="187"/>
      <c r="P87" s="189"/>
      <c r="Q87" s="379"/>
      <c r="R87" s="379"/>
      <c r="S87" s="379"/>
      <c r="T87" s="187"/>
      <c r="U87" s="187"/>
      <c r="V87" s="187"/>
      <c r="W87" s="187"/>
      <c r="X87" s="188"/>
      <c r="AC87" s="187"/>
    </row>
    <row r="88" spans="1:29" ht="12.75">
      <c r="A88" s="1"/>
      <c r="B88" s="1"/>
      <c r="C88" s="1"/>
      <c r="D88" s="1"/>
      <c r="E88" s="1"/>
      <c r="F88" s="1"/>
      <c r="G88" s="1"/>
      <c r="H88" s="1"/>
      <c r="I88" s="1"/>
      <c r="J88" s="1"/>
      <c r="K88" s="1"/>
      <c r="L88" s="189"/>
      <c r="M88" s="380"/>
      <c r="N88" s="381"/>
      <c r="O88" s="187"/>
      <c r="P88" s="189"/>
      <c r="Q88" s="379"/>
      <c r="R88" s="379"/>
      <c r="S88" s="379"/>
      <c r="T88" s="187"/>
      <c r="U88" s="187"/>
      <c r="V88" s="187"/>
      <c r="W88" s="187"/>
      <c r="X88" s="188"/>
      <c r="AC88" s="187"/>
    </row>
    <row r="89" spans="1:29" ht="12.75">
      <c r="A89" s="1"/>
      <c r="B89" s="1"/>
      <c r="C89" s="1"/>
      <c r="D89" s="1"/>
      <c r="E89" s="1"/>
      <c r="F89" s="1"/>
      <c r="G89" s="1"/>
      <c r="H89" s="1"/>
      <c r="I89" s="1"/>
      <c r="J89" s="1"/>
      <c r="K89" s="1"/>
      <c r="L89" s="383" t="str">
        <f>PO!K148</f>
        <v>20 de dezembro de 2023</v>
      </c>
      <c r="M89" s="383"/>
      <c r="N89" s="383"/>
      <c r="O89" s="187"/>
      <c r="P89" s="187"/>
      <c r="Q89" s="187"/>
      <c r="R89" s="187"/>
      <c r="S89" s="187"/>
      <c r="T89" s="187"/>
      <c r="U89" s="187"/>
      <c r="V89" s="187"/>
      <c r="W89" s="187"/>
      <c r="X89" s="191"/>
      <c r="AC89" s="187"/>
    </row>
    <row r="90" spans="1:29" ht="12.75">
      <c r="A90" s="1"/>
      <c r="B90" s="1"/>
      <c r="C90" s="1"/>
      <c r="D90" s="1"/>
      <c r="E90" s="1"/>
      <c r="F90" s="1"/>
      <c r="G90" s="1"/>
      <c r="H90" s="1"/>
      <c r="I90" s="1"/>
      <c r="J90" s="1"/>
      <c r="K90" s="1"/>
      <c r="L90" s="192" t="s">
        <v>121</v>
      </c>
      <c r="M90" s="193"/>
      <c r="N90" s="193"/>
      <c r="O90" s="187"/>
      <c r="P90" s="187"/>
      <c r="Q90" s="187"/>
      <c r="R90" s="187"/>
      <c r="S90" s="187"/>
      <c r="T90" s="187"/>
      <c r="U90" s="187"/>
      <c r="V90" s="187"/>
      <c r="W90" s="187"/>
      <c r="X90" s="191"/>
      <c r="AC90" s="187"/>
    </row>
    <row r="91" spans="1:29" ht="12.75">
      <c r="A91" s="1"/>
      <c r="B91" s="1"/>
      <c r="C91" s="1"/>
      <c r="D91" s="1"/>
      <c r="E91" s="1"/>
      <c r="F91" s="1"/>
      <c r="G91" s="1"/>
      <c r="H91" s="1"/>
      <c r="I91" s="1"/>
      <c r="J91" s="1"/>
      <c r="K91" s="1"/>
      <c r="L91" s="187"/>
      <c r="M91" s="187"/>
      <c r="N91" s="187"/>
      <c r="O91" s="187"/>
      <c r="P91" s="187"/>
      <c r="Q91" s="187"/>
      <c r="R91" s="187"/>
      <c r="S91" s="187"/>
      <c r="T91" s="187"/>
      <c r="U91" s="187"/>
      <c r="V91" s="187"/>
      <c r="W91" s="187"/>
      <c r="X91" s="191"/>
      <c r="AC91" s="187"/>
    </row>
    <row r="92" spans="1:29" ht="12.75">
      <c r="A92" s="1"/>
      <c r="B92" s="1"/>
      <c r="C92" s="1"/>
      <c r="D92" s="1"/>
      <c r="E92" s="1"/>
      <c r="F92" s="1"/>
      <c r="G92" s="1"/>
      <c r="H92" s="1"/>
      <c r="I92" s="1"/>
      <c r="J92" s="1"/>
      <c r="K92" s="1"/>
      <c r="L92" s="187"/>
      <c r="M92" s="187"/>
      <c r="N92" s="194"/>
      <c r="O92" s="187"/>
      <c r="P92" s="187"/>
      <c r="Q92" s="187"/>
      <c r="R92" s="187"/>
      <c r="S92" s="187"/>
      <c r="T92" s="187"/>
      <c r="U92" s="187"/>
      <c r="V92" s="187"/>
      <c r="W92" s="187"/>
      <c r="X92" s="188"/>
      <c r="AC92" s="187"/>
    </row>
    <row r="93" spans="1:29" ht="12.75">
      <c r="A93" s="1"/>
      <c r="B93" s="1"/>
      <c r="C93" s="1"/>
      <c r="D93" s="1"/>
      <c r="E93" s="1"/>
      <c r="F93" s="1"/>
      <c r="G93" s="1"/>
      <c r="H93" s="1"/>
      <c r="I93" s="1"/>
      <c r="J93" s="1"/>
      <c r="K93" s="1"/>
      <c r="L93" s="187"/>
      <c r="M93" s="187"/>
      <c r="N93" s="194"/>
      <c r="O93" s="187"/>
      <c r="P93" s="187"/>
      <c r="Q93" s="187"/>
      <c r="R93" s="187"/>
      <c r="S93" s="187"/>
      <c r="T93" s="187"/>
      <c r="U93" s="187"/>
      <c r="V93" s="187"/>
      <c r="W93" s="187"/>
      <c r="X93" s="188"/>
      <c r="AC93" s="187"/>
    </row>
    <row r="94" spans="1:29" ht="12.75">
      <c r="A94" s="1"/>
      <c r="B94" s="1"/>
      <c r="C94" s="1"/>
      <c r="D94" s="1"/>
      <c r="E94" s="1"/>
      <c r="F94" s="1"/>
      <c r="G94" s="1"/>
      <c r="H94" s="1"/>
      <c r="I94" s="1"/>
      <c r="J94" s="1"/>
      <c r="K94" s="1"/>
      <c r="L94" s="82"/>
      <c r="M94" s="82"/>
      <c r="N94" s="7"/>
      <c r="O94" s="82"/>
      <c r="P94" s="82"/>
      <c r="Q94" s="82"/>
      <c r="R94" s="82"/>
      <c r="S94" s="82"/>
      <c r="T94" s="82"/>
      <c r="U94" s="82"/>
      <c r="V94" s="82"/>
      <c r="W94" s="187"/>
      <c r="X94" s="188"/>
      <c r="AC94" s="82"/>
    </row>
  </sheetData>
  <sheetProtection password="C95B" sheet="1" objects="1" scenarios="1"/>
  <mergeCells count="79">
    <mergeCell ref="L81:L83"/>
    <mergeCell ref="M81:M83"/>
    <mergeCell ref="N81:N83"/>
    <mergeCell ref="L75:L77"/>
    <mergeCell ref="M75:M77"/>
    <mergeCell ref="N75:N77"/>
    <mergeCell ref="L78:L80"/>
    <mergeCell ref="M78:M80"/>
    <mergeCell ref="N78:N80"/>
    <mergeCell ref="L60:L62"/>
    <mergeCell ref="M60:M62"/>
    <mergeCell ref="N60:N62"/>
    <mergeCell ref="L63:L65"/>
    <mergeCell ref="M63:M65"/>
    <mergeCell ref="N63:N65"/>
    <mergeCell ref="L54:L56"/>
    <mergeCell ref="M54:M56"/>
    <mergeCell ref="N54:N56"/>
    <mergeCell ref="L57:L59"/>
    <mergeCell ref="M57:M59"/>
    <mergeCell ref="N57:N59"/>
    <mergeCell ref="L42:L44"/>
    <mergeCell ref="M42:M44"/>
    <mergeCell ref="N42:N44"/>
    <mergeCell ref="L45:L47"/>
    <mergeCell ref="M45:M47"/>
    <mergeCell ref="N45:N47"/>
    <mergeCell ref="L48:L50"/>
    <mergeCell ref="M48:M50"/>
    <mergeCell ref="N48:N50"/>
    <mergeCell ref="L51:L53"/>
    <mergeCell ref="M51:M53"/>
    <mergeCell ref="N51:N53"/>
    <mergeCell ref="M24:M26"/>
    <mergeCell ref="N24:N26"/>
    <mergeCell ref="L8:M8"/>
    <mergeCell ref="N11:N13"/>
    <mergeCell ref="M18:M20"/>
    <mergeCell ref="N18:N20"/>
    <mergeCell ref="L21:L23"/>
    <mergeCell ref="M21:M23"/>
    <mergeCell ref="N21:N23"/>
    <mergeCell ref="L36:L38"/>
    <mergeCell ref="M36:M38"/>
    <mergeCell ref="N36:N38"/>
    <mergeCell ref="L39:L41"/>
    <mergeCell ref="M39:M41"/>
    <mergeCell ref="N39:N41"/>
    <mergeCell ref="L89:N89"/>
    <mergeCell ref="L11:L13"/>
    <mergeCell ref="M11:M13"/>
    <mergeCell ref="L14:M17"/>
    <mergeCell ref="N14:N17"/>
    <mergeCell ref="L18:L20"/>
    <mergeCell ref="L27:L29"/>
    <mergeCell ref="M27:M29"/>
    <mergeCell ref="N27:N29"/>
    <mergeCell ref="L30:L32"/>
    <mergeCell ref="M30:M32"/>
    <mergeCell ref="N30:N32"/>
    <mergeCell ref="L33:L35"/>
    <mergeCell ref="M33:M35"/>
    <mergeCell ref="N33:N35"/>
    <mergeCell ref="L24:L26"/>
    <mergeCell ref="Q88:S88"/>
    <mergeCell ref="M88:N88"/>
    <mergeCell ref="Q87:S87"/>
    <mergeCell ref="Q86:S86"/>
    <mergeCell ref="L86:N86"/>
    <mergeCell ref="M87:N87"/>
    <mergeCell ref="L72:L74"/>
    <mergeCell ref="M72:M74"/>
    <mergeCell ref="N72:N74"/>
    <mergeCell ref="L66:L68"/>
    <mergeCell ref="M66:M68"/>
    <mergeCell ref="N66:N68"/>
    <mergeCell ref="L69:L71"/>
    <mergeCell ref="M69:M71"/>
    <mergeCell ref="N69:N71"/>
  </mergeCells>
  <conditionalFormatting sqref="L11:N11 L12:M13 L18:N18">
    <cfRule type="expression" priority="1217" dxfId="0" stopIfTrue="1">
      <formula>$C13=1</formula>
    </cfRule>
  </conditionalFormatting>
  <conditionalFormatting sqref="O11 O18">
    <cfRule type="expression" priority="1289" dxfId="2" stopIfTrue="1">
      <formula>$B13=FALSE</formula>
    </cfRule>
    <cfRule type="expression" priority="1290" dxfId="1" stopIfTrue="1">
      <formula>$C13=1</formula>
    </cfRule>
  </conditionalFormatting>
  <conditionalFormatting sqref="P12:W12">
    <cfRule type="expression" priority="1279" dxfId="7" stopIfTrue="1">
      <formula>AND(ISNUMBER(O13),O13&gt;=$N11)</formula>
    </cfRule>
    <cfRule type="cellIs" priority="1280" dxfId="4" operator="notBetween" stopIfTrue="1">
      <formula>0</formula>
      <formula>1</formula>
    </cfRule>
  </conditionalFormatting>
  <conditionalFormatting sqref="P13:W13">
    <cfRule type="expression" priority="1281" dxfId="5" stopIfTrue="1">
      <formula>AND(ISNUMBER(O13),O13&gt;=$N11)</formula>
    </cfRule>
    <cfRule type="cellIs" priority="1282" dxfId="4" operator="notBetween" stopIfTrue="1">
      <formula>0</formula>
      <formula>$N11</formula>
    </cfRule>
  </conditionalFormatting>
  <conditionalFormatting sqref="P14:W14">
    <cfRule type="expression" priority="1283" dxfId="5" stopIfTrue="1">
      <formula>AND(ISNUMBER(O17),O17&gt;=$N14)</formula>
    </cfRule>
  </conditionalFormatting>
  <conditionalFormatting sqref="P15:W15">
    <cfRule type="expression" priority="1284" dxfId="5" stopIfTrue="1">
      <formula>AND(ISNUMBER(O17),O17&gt;=$N14)</formula>
    </cfRule>
  </conditionalFormatting>
  <conditionalFormatting sqref="P16:W16">
    <cfRule type="expression" priority="1285" dxfId="5" stopIfTrue="1">
      <formula>AND(ISNUMBER(O17),O17&gt;=$N14)</formula>
    </cfRule>
    <cfRule type="cellIs" priority="1286" dxfId="4" operator="notBetween" stopIfTrue="1">
      <formula>0</formula>
      <formula>1</formula>
    </cfRule>
  </conditionalFormatting>
  <conditionalFormatting sqref="P17:W17">
    <cfRule type="expression" priority="1287" dxfId="5" stopIfTrue="1">
      <formula>AND(ISNUMBER(O17),O17&gt;=$N14)</formula>
    </cfRule>
    <cfRule type="cellIs" priority="1288" dxfId="4" operator="notBetween" stopIfTrue="1">
      <formula>0</formula>
      <formula>$N14</formula>
    </cfRule>
  </conditionalFormatting>
  <conditionalFormatting sqref="L8">
    <cfRule type="cellIs" priority="1274" dxfId="4" operator="notEqual" stopIfTrue="1">
      <formula>""</formula>
    </cfRule>
  </conditionalFormatting>
  <conditionalFormatting sqref="N9">
    <cfRule type="expression" priority="1273" dxfId="123" stopIfTrue="1">
      <formula>TipoOrçamento&lt;&gt;"REPROGRAMADOAC"</formula>
    </cfRule>
  </conditionalFormatting>
  <conditionalFormatting sqref="L19:M20">
    <cfRule type="expression" priority="2108" dxfId="0" stopIfTrue="1">
      <formula>#REF!=1</formula>
    </cfRule>
  </conditionalFormatting>
  <conditionalFormatting sqref="P11:W11">
    <cfRule type="expression" priority="428" dxfId="3" stopIfTrue="1">
      <formula>AND(ISNUMBER(O13),O13&gt;=$N11)</formula>
    </cfRule>
    <cfRule type="expression" priority="429" dxfId="2" stopIfTrue="1">
      <formula>$B13=FALSE</formula>
    </cfRule>
    <cfRule type="expression" priority="430" dxfId="1" stopIfTrue="1">
      <formula>$C13=1</formula>
    </cfRule>
  </conditionalFormatting>
  <conditionalFormatting sqref="P19:W19">
    <cfRule type="expression" priority="379" dxfId="7" stopIfTrue="1">
      <formula>AND(ISNUMBER(O20),O20&gt;=$N18)</formula>
    </cfRule>
    <cfRule type="cellIs" priority="380" dxfId="4" operator="notBetween" stopIfTrue="1">
      <formula>0</formula>
      <formula>1</formula>
    </cfRule>
  </conditionalFormatting>
  <conditionalFormatting sqref="P20:W20">
    <cfRule type="expression" priority="381" dxfId="5" stopIfTrue="1">
      <formula>AND(ISNUMBER(O20),O20&gt;=$N18)</formula>
    </cfRule>
    <cfRule type="cellIs" priority="382" dxfId="4" operator="notBetween" stopIfTrue="1">
      <formula>0</formula>
      <formula>$N18</formula>
    </cfRule>
  </conditionalFormatting>
  <conditionalFormatting sqref="O10:W10">
    <cfRule type="expression" priority="351" dxfId="90" stopIfTrue="1">
      <formula>1=1</formula>
    </cfRule>
  </conditionalFormatting>
  <conditionalFormatting sqref="P18:W18">
    <cfRule type="expression" priority="306" dxfId="3" stopIfTrue="1">
      <formula>AND(ISNUMBER(O20),O20&gt;=$N18)</formula>
    </cfRule>
    <cfRule type="expression" priority="307" dxfId="2" stopIfTrue="1">
      <formula>$B20=FALSE</formula>
    </cfRule>
    <cfRule type="expression" priority="308" dxfId="1" stopIfTrue="1">
      <formula>$C20=1</formula>
    </cfRule>
  </conditionalFormatting>
  <conditionalFormatting sqref="AC18">
    <cfRule type="expression" priority="226" dxfId="3" stopIfTrue="1">
      <formula>AND(ISNUMBER(AB20),AB20&gt;=$N18)</formula>
    </cfRule>
    <cfRule type="expression" priority="227" dxfId="2" stopIfTrue="1">
      <formula>$B20=FALSE</formula>
    </cfRule>
    <cfRule type="expression" priority="228" dxfId="1" stopIfTrue="1">
      <formula>$C20=1</formula>
    </cfRule>
  </conditionalFormatting>
  <conditionalFormatting sqref="AC12">
    <cfRule type="expression" priority="241" dxfId="7" stopIfTrue="1">
      <formula>AND(ISNUMBER(AB13),AB13&gt;=$N11)</formula>
    </cfRule>
    <cfRule type="cellIs" priority="242" dxfId="4" operator="notBetween" stopIfTrue="1">
      <formula>0</formula>
      <formula>1</formula>
    </cfRule>
  </conditionalFormatting>
  <conditionalFormatting sqref="AC13">
    <cfRule type="expression" priority="243" dxfId="5" stopIfTrue="1">
      <formula>AND(ISNUMBER(AB13),AB13&gt;=$N11)</formula>
    </cfRule>
    <cfRule type="cellIs" priority="244" dxfId="4" operator="notBetween" stopIfTrue="1">
      <formula>0</formula>
      <formula>$N11</formula>
    </cfRule>
  </conditionalFormatting>
  <conditionalFormatting sqref="AC14">
    <cfRule type="expression" priority="245" dxfId="5" stopIfTrue="1">
      <formula>AND(ISNUMBER(AB17),AB17&gt;=$N14)</formula>
    </cfRule>
  </conditionalFormatting>
  <conditionalFormatting sqref="AC15">
    <cfRule type="expression" priority="246" dxfId="5" stopIfTrue="1">
      <formula>AND(ISNUMBER(AB17),AB17&gt;=$N14)</formula>
    </cfRule>
  </conditionalFormatting>
  <conditionalFormatting sqref="AC16">
    <cfRule type="expression" priority="247" dxfId="5" stopIfTrue="1">
      <formula>AND(ISNUMBER(AB17),AB17&gt;=$N14)</formula>
    </cfRule>
    <cfRule type="cellIs" priority="248" dxfId="4" operator="notBetween" stopIfTrue="1">
      <formula>0</formula>
      <formula>1</formula>
    </cfRule>
  </conditionalFormatting>
  <conditionalFormatting sqref="AC17">
    <cfRule type="expression" priority="249" dxfId="5" stopIfTrue="1">
      <formula>AND(ISNUMBER(AB17),AB17&gt;=$N14)</formula>
    </cfRule>
    <cfRule type="cellIs" priority="250" dxfId="4" operator="notBetween" stopIfTrue="1">
      <formula>0</formula>
      <formula>$N14</formula>
    </cfRule>
  </conditionalFormatting>
  <conditionalFormatting sqref="AC11">
    <cfRule type="expression" priority="238" dxfId="3" stopIfTrue="1">
      <formula>AND(ISNUMBER(AB13),AB13&gt;=$N11)</formula>
    </cfRule>
    <cfRule type="expression" priority="239" dxfId="2" stopIfTrue="1">
      <formula>$B13=FALSE</formula>
    </cfRule>
    <cfRule type="expression" priority="240" dxfId="1" stopIfTrue="1">
      <formula>$C13=1</formula>
    </cfRule>
  </conditionalFormatting>
  <conditionalFormatting sqref="AC19">
    <cfRule type="expression" priority="234" dxfId="7" stopIfTrue="1">
      <formula>AND(ISNUMBER(AB20),AB20&gt;=$N18)</formula>
    </cfRule>
    <cfRule type="cellIs" priority="235" dxfId="4" operator="notBetween" stopIfTrue="1">
      <formula>0</formula>
      <formula>1</formula>
    </cfRule>
  </conditionalFormatting>
  <conditionalFormatting sqref="AC20">
    <cfRule type="expression" priority="236" dxfId="5" stopIfTrue="1">
      <formula>AND(ISNUMBER(AB20),AB20&gt;=$N18)</formula>
    </cfRule>
    <cfRule type="cellIs" priority="237" dxfId="4" operator="notBetween" stopIfTrue="1">
      <formula>0</formula>
      <formula>$N18</formula>
    </cfRule>
  </conditionalFormatting>
  <conditionalFormatting sqref="AC10">
    <cfRule type="expression" priority="229" dxfId="90" stopIfTrue="1">
      <formula>1=1</formula>
    </cfRule>
  </conditionalFormatting>
  <conditionalFormatting sqref="L21:N21 L24:N24 L27:N27 L30:N30 L33:N33 L22:M23 L25:M26 L28:M29 L31:M32">
    <cfRule type="expression" priority="210" dxfId="0" stopIfTrue="1">
      <formula>$C23=1</formula>
    </cfRule>
  </conditionalFormatting>
  <conditionalFormatting sqref="O21 O24 O27 O30 O33">
    <cfRule type="expression" priority="215" dxfId="2" stopIfTrue="1">
      <formula>$B23=FALSE</formula>
    </cfRule>
    <cfRule type="expression" priority="216" dxfId="1" stopIfTrue="1">
      <formula>$C23=1</formula>
    </cfRule>
  </conditionalFormatting>
  <conditionalFormatting sqref="P22:W22 P25:W25 P28:W28 P31:W31 P34:W34">
    <cfRule type="expression" priority="211" dxfId="7" stopIfTrue="1">
      <formula>AND(ISNUMBER(O23),O23&gt;=$N21)</formula>
    </cfRule>
    <cfRule type="cellIs" priority="212" dxfId="4" operator="notBetween" stopIfTrue="1">
      <formula>0</formula>
      <formula>1</formula>
    </cfRule>
  </conditionalFormatting>
  <conditionalFormatting sqref="P23:W23 P26:W26 P29:W29 P32:W32 P35:W35">
    <cfRule type="expression" priority="213" dxfId="5" stopIfTrue="1">
      <formula>AND(ISNUMBER(O23),O23&gt;=$N21)</formula>
    </cfRule>
    <cfRule type="cellIs" priority="214" dxfId="4" operator="notBetween" stopIfTrue="1">
      <formula>0</formula>
      <formula>$N21</formula>
    </cfRule>
  </conditionalFormatting>
  <conditionalFormatting sqref="P21:W21 P24:W24 P27:W27 P30:W30 P33:W33">
    <cfRule type="expression" priority="207" dxfId="3" stopIfTrue="1">
      <formula>AND(ISNUMBER(O23),O23&gt;=$N21)</formula>
    </cfRule>
    <cfRule type="expression" priority="208" dxfId="2" stopIfTrue="1">
      <formula>$B23=FALSE</formula>
    </cfRule>
    <cfRule type="expression" priority="209" dxfId="1" stopIfTrue="1">
      <formula>$C23=1</formula>
    </cfRule>
  </conditionalFormatting>
  <conditionalFormatting sqref="AC22 AC25 AC28 AC31 AC34">
    <cfRule type="expression" priority="203" dxfId="7" stopIfTrue="1">
      <formula>AND(ISNUMBER(AB23),AB23&gt;=$N21)</formula>
    </cfRule>
    <cfRule type="cellIs" priority="204" dxfId="4" operator="notBetween" stopIfTrue="1">
      <formula>0</formula>
      <formula>1</formula>
    </cfRule>
  </conditionalFormatting>
  <conditionalFormatting sqref="AC23 AC26 AC29 AC32 AC35">
    <cfRule type="expression" priority="205" dxfId="5" stopIfTrue="1">
      <formula>AND(ISNUMBER(AB23),AB23&gt;=$N21)</formula>
    </cfRule>
    <cfRule type="cellIs" priority="206" dxfId="4" operator="notBetween" stopIfTrue="1">
      <formula>0</formula>
      <formula>$N21</formula>
    </cfRule>
  </conditionalFormatting>
  <conditionalFormatting sqref="AC21 AC24 AC27 AC30 AC33">
    <cfRule type="expression" priority="200" dxfId="3" stopIfTrue="1">
      <formula>AND(ISNUMBER(AB23),AB23&gt;=$N21)</formula>
    </cfRule>
    <cfRule type="expression" priority="201" dxfId="2" stopIfTrue="1">
      <formula>$B23=FALSE</formula>
    </cfRule>
    <cfRule type="expression" priority="202" dxfId="1" stopIfTrue="1">
      <formula>$C23=1</formula>
    </cfRule>
  </conditionalFormatting>
  <conditionalFormatting sqref="L34:M35">
    <cfRule type="expression" priority="2346" dxfId="0" stopIfTrue="1">
      <formula>#REF!=1</formula>
    </cfRule>
  </conditionalFormatting>
  <conditionalFormatting sqref="L36:N36 L39:N39 L42:N42 L45:N45 L48:N48 L51:N51 L54:N54 L57:N57 L37:M38 L40:M41 L43:M44 L46:M47 L49:M50 L52:M53 L55:M56">
    <cfRule type="expression" priority="159" dxfId="0" stopIfTrue="1">
      <formula>$C38=1</formula>
    </cfRule>
  </conditionalFormatting>
  <conditionalFormatting sqref="O36 O39 O42 O45 O48 O51 O54 O57">
    <cfRule type="expression" priority="164" dxfId="2" stopIfTrue="1">
      <formula>$B38=FALSE</formula>
    </cfRule>
    <cfRule type="expression" priority="165" dxfId="1" stopIfTrue="1">
      <formula>$C38=1</formula>
    </cfRule>
  </conditionalFormatting>
  <conditionalFormatting sqref="P37:W37 P40:W40 P43:W43 P46:W46 P49:W49 P52:W52 P55:W55 P58:W58">
    <cfRule type="expression" priority="160" dxfId="7" stopIfTrue="1">
      <formula>AND(ISNUMBER(O38),O38&gt;=$N36)</formula>
    </cfRule>
    <cfRule type="cellIs" priority="161" dxfId="4" operator="notBetween" stopIfTrue="1">
      <formula>0</formula>
      <formula>1</formula>
    </cfRule>
  </conditionalFormatting>
  <conditionalFormatting sqref="P38:W38 P41:W41 P44:W44 P47:W47 P50:W50 P53:W53 P56:W56 P59:W59">
    <cfRule type="expression" priority="162" dxfId="5" stopIfTrue="1">
      <formula>AND(ISNUMBER(O38),O38&gt;=$N36)</formula>
    </cfRule>
    <cfRule type="cellIs" priority="163" dxfId="4" operator="notBetween" stopIfTrue="1">
      <formula>0</formula>
      <formula>$N36</formula>
    </cfRule>
  </conditionalFormatting>
  <conditionalFormatting sqref="P36:W36 P39:W39 P42:W42 P45:W45 P48:W48 P51:W51 P54:W54 P57:W57">
    <cfRule type="expression" priority="156" dxfId="3" stopIfTrue="1">
      <formula>AND(ISNUMBER(O38),O38&gt;=$N36)</formula>
    </cfRule>
    <cfRule type="expression" priority="157" dxfId="2" stopIfTrue="1">
      <formula>$B38=FALSE</formula>
    </cfRule>
    <cfRule type="expression" priority="158" dxfId="1" stopIfTrue="1">
      <formula>$C38=1</formula>
    </cfRule>
  </conditionalFormatting>
  <conditionalFormatting sqref="AC37 AC40 AC43 AC46 AC49 AC52 AC55 AC58">
    <cfRule type="expression" priority="152" dxfId="7" stopIfTrue="1">
      <formula>AND(ISNUMBER(AB38),AB38&gt;=$N36)</formula>
    </cfRule>
    <cfRule type="cellIs" priority="153" dxfId="4" operator="notBetween" stopIfTrue="1">
      <formula>0</formula>
      <formula>1</formula>
    </cfRule>
  </conditionalFormatting>
  <conditionalFormatting sqref="AC38 AC41 AC44 AC47 AC50 AC53 AC56 AC59">
    <cfRule type="expression" priority="154" dxfId="5" stopIfTrue="1">
      <formula>AND(ISNUMBER(AB38),AB38&gt;=$N36)</formula>
    </cfRule>
    <cfRule type="cellIs" priority="155" dxfId="4" operator="notBetween" stopIfTrue="1">
      <formula>0</formula>
      <formula>$N36</formula>
    </cfRule>
  </conditionalFormatting>
  <conditionalFormatting sqref="AC36 AC39 AC42 AC45 AC48 AC51 AC54 AC57">
    <cfRule type="expression" priority="149" dxfId="3" stopIfTrue="1">
      <formula>AND(ISNUMBER(AB38),AB38&gt;=$N36)</formula>
    </cfRule>
    <cfRule type="expression" priority="150" dxfId="2" stopIfTrue="1">
      <formula>$B38=FALSE</formula>
    </cfRule>
    <cfRule type="expression" priority="151" dxfId="1" stopIfTrue="1">
      <formula>$C38=1</formula>
    </cfRule>
  </conditionalFormatting>
  <conditionalFormatting sqref="L58:M59">
    <cfRule type="expression" priority="4238" dxfId="0" stopIfTrue="1">
      <formula>#REF!=1</formula>
    </cfRule>
  </conditionalFormatting>
  <conditionalFormatting sqref="L60:N60 L63:N63 L61:M62">
    <cfRule type="expression" priority="62" dxfId="0" stopIfTrue="1">
      <formula>$C62=1</formula>
    </cfRule>
  </conditionalFormatting>
  <conditionalFormatting sqref="O60 O63">
    <cfRule type="expression" priority="67" dxfId="2" stopIfTrue="1">
      <formula>$B62=FALSE</formula>
    </cfRule>
    <cfRule type="expression" priority="68" dxfId="1" stopIfTrue="1">
      <formula>$C62=1</formula>
    </cfRule>
  </conditionalFormatting>
  <conditionalFormatting sqref="P61:W61 P64:W64">
    <cfRule type="expression" priority="63" dxfId="7" stopIfTrue="1">
      <formula>AND(ISNUMBER(O62),O62&gt;=$N60)</formula>
    </cfRule>
    <cfRule type="cellIs" priority="64" dxfId="4" operator="notBetween" stopIfTrue="1">
      <formula>0</formula>
      <formula>1</formula>
    </cfRule>
  </conditionalFormatting>
  <conditionalFormatting sqref="P62:W62 P65:W65">
    <cfRule type="expression" priority="65" dxfId="5" stopIfTrue="1">
      <formula>AND(ISNUMBER(O62),O62&gt;=$N60)</formula>
    </cfRule>
    <cfRule type="cellIs" priority="66" dxfId="4" operator="notBetween" stopIfTrue="1">
      <formula>0</formula>
      <formula>$N60</formula>
    </cfRule>
  </conditionalFormatting>
  <conditionalFormatting sqref="P60:W60 P63:W63">
    <cfRule type="expression" priority="59" dxfId="3" stopIfTrue="1">
      <formula>AND(ISNUMBER(O62),O62&gt;=$N60)</formula>
    </cfRule>
    <cfRule type="expression" priority="60" dxfId="2" stopIfTrue="1">
      <formula>$B62=FALSE</formula>
    </cfRule>
    <cfRule type="expression" priority="61" dxfId="1" stopIfTrue="1">
      <formula>$C62=1</formula>
    </cfRule>
  </conditionalFormatting>
  <conditionalFormatting sqref="AC61 AC64">
    <cfRule type="expression" priority="55" dxfId="7" stopIfTrue="1">
      <formula>AND(ISNUMBER(AB62),AB62&gt;=$N60)</formula>
    </cfRule>
    <cfRule type="cellIs" priority="56" dxfId="4" operator="notBetween" stopIfTrue="1">
      <formula>0</formula>
      <formula>1</formula>
    </cfRule>
  </conditionalFormatting>
  <conditionalFormatting sqref="AC62 AC65">
    <cfRule type="expression" priority="57" dxfId="5" stopIfTrue="1">
      <formula>AND(ISNUMBER(AB62),AB62&gt;=$N60)</formula>
    </cfRule>
    <cfRule type="cellIs" priority="58" dxfId="4" operator="notBetween" stopIfTrue="1">
      <formula>0</formula>
      <formula>$N60</formula>
    </cfRule>
  </conditionalFormatting>
  <conditionalFormatting sqref="AC60 AC63">
    <cfRule type="expression" priority="52" dxfId="3" stopIfTrue="1">
      <formula>AND(ISNUMBER(AB62),AB62&gt;=$N60)</formula>
    </cfRule>
    <cfRule type="expression" priority="53" dxfId="2" stopIfTrue="1">
      <formula>$B62=FALSE</formula>
    </cfRule>
    <cfRule type="expression" priority="54" dxfId="1" stopIfTrue="1">
      <formula>$C62=1</formula>
    </cfRule>
  </conditionalFormatting>
  <conditionalFormatting sqref="L64:M65">
    <cfRule type="expression" priority="4596" dxfId="0" stopIfTrue="1">
      <formula>#REF!=1</formula>
    </cfRule>
  </conditionalFormatting>
  <conditionalFormatting sqref="L66:N66 L69:N69 L72:N72 L67:M68 L70:M71">
    <cfRule type="expression" priority="45" dxfId="0" stopIfTrue="1">
      <formula>$C68=1</formula>
    </cfRule>
  </conditionalFormatting>
  <conditionalFormatting sqref="O66 O69 O72">
    <cfRule type="expression" priority="50" dxfId="2" stopIfTrue="1">
      <formula>$B68=FALSE</formula>
    </cfRule>
    <cfRule type="expression" priority="51" dxfId="1" stopIfTrue="1">
      <formula>$C68=1</formula>
    </cfRule>
  </conditionalFormatting>
  <conditionalFormatting sqref="P67:W67 P70:W70 P73:W73">
    <cfRule type="expression" priority="46" dxfId="7" stopIfTrue="1">
      <formula>AND(ISNUMBER(O68),O68&gt;=$N66)</formula>
    </cfRule>
    <cfRule type="cellIs" priority="47" dxfId="4" operator="notBetween" stopIfTrue="1">
      <formula>0</formula>
      <formula>1</formula>
    </cfRule>
  </conditionalFormatting>
  <conditionalFormatting sqref="P68:W68 P71:W71 P74:W74">
    <cfRule type="expression" priority="48" dxfId="5" stopIfTrue="1">
      <formula>AND(ISNUMBER(O68),O68&gt;=$N66)</formula>
    </cfRule>
    <cfRule type="cellIs" priority="49" dxfId="4" operator="notBetween" stopIfTrue="1">
      <formula>0</formula>
      <formula>$N66</formula>
    </cfRule>
  </conditionalFormatting>
  <conditionalFormatting sqref="P66:W66 P69:W69 P72:W72">
    <cfRule type="expression" priority="42" dxfId="3" stopIfTrue="1">
      <formula>AND(ISNUMBER(O68),O68&gt;=$N66)</formula>
    </cfRule>
    <cfRule type="expression" priority="43" dxfId="2" stopIfTrue="1">
      <formula>$B68=FALSE</formula>
    </cfRule>
    <cfRule type="expression" priority="44" dxfId="1" stopIfTrue="1">
      <formula>$C68=1</formula>
    </cfRule>
  </conditionalFormatting>
  <conditionalFormatting sqref="AC67 AC70 AC73">
    <cfRule type="expression" priority="38" dxfId="7" stopIfTrue="1">
      <formula>AND(ISNUMBER(AB68),AB68&gt;=$N66)</formula>
    </cfRule>
    <cfRule type="cellIs" priority="39" dxfId="4" operator="notBetween" stopIfTrue="1">
      <formula>0</formula>
      <formula>1</formula>
    </cfRule>
  </conditionalFormatting>
  <conditionalFormatting sqref="AC68 AC71 AC74">
    <cfRule type="expression" priority="40" dxfId="5" stopIfTrue="1">
      <formula>AND(ISNUMBER(AB68),AB68&gt;=$N66)</formula>
    </cfRule>
    <cfRule type="cellIs" priority="41" dxfId="4" operator="notBetween" stopIfTrue="1">
      <formula>0</formula>
      <formula>$N66</formula>
    </cfRule>
  </conditionalFormatting>
  <conditionalFormatting sqref="AC66 AC69 AC72">
    <cfRule type="expression" priority="35" dxfId="3" stopIfTrue="1">
      <formula>AND(ISNUMBER(AB68),AB68&gt;=$N66)</formula>
    </cfRule>
    <cfRule type="expression" priority="36" dxfId="2" stopIfTrue="1">
      <formula>$B68=FALSE</formula>
    </cfRule>
    <cfRule type="expression" priority="37" dxfId="1" stopIfTrue="1">
      <formula>$C68=1</formula>
    </cfRule>
  </conditionalFormatting>
  <conditionalFormatting sqref="L73:M74">
    <cfRule type="expression" priority="6238" dxfId="0" stopIfTrue="1">
      <formula>#REF!=1</formula>
    </cfRule>
  </conditionalFormatting>
  <conditionalFormatting sqref="L75:N75 L78:N78 L81:N81 L76:M77 L79:M80">
    <cfRule type="expression" priority="28" dxfId="0" stopIfTrue="1">
      <formula>$C77=1</formula>
    </cfRule>
  </conditionalFormatting>
  <conditionalFormatting sqref="O75 O78 O81">
    <cfRule type="expression" priority="33" dxfId="2" stopIfTrue="1">
      <formula>$B77=FALSE</formula>
    </cfRule>
    <cfRule type="expression" priority="34" dxfId="1" stopIfTrue="1">
      <formula>$C77=1</formula>
    </cfRule>
  </conditionalFormatting>
  <conditionalFormatting sqref="P76:W76 P79:W79 P82:W82">
    <cfRule type="expression" priority="29" dxfId="7" stopIfTrue="1">
      <formula>AND(ISNUMBER(O77),O77&gt;=$N75)</formula>
    </cfRule>
    <cfRule type="cellIs" priority="30" dxfId="4" operator="notBetween" stopIfTrue="1">
      <formula>0</formula>
      <formula>1</formula>
    </cfRule>
  </conditionalFormatting>
  <conditionalFormatting sqref="P77:W77 P80:W80 P83:W83">
    <cfRule type="expression" priority="31" dxfId="5" stopIfTrue="1">
      <formula>AND(ISNUMBER(O77),O77&gt;=$N75)</formula>
    </cfRule>
    <cfRule type="cellIs" priority="32" dxfId="4" operator="notBetween" stopIfTrue="1">
      <formula>0</formula>
      <formula>$N75</formula>
    </cfRule>
  </conditionalFormatting>
  <conditionalFormatting sqref="P75:W75 P78:W78 P81:W81">
    <cfRule type="expression" priority="25" dxfId="3" stopIfTrue="1">
      <formula>AND(ISNUMBER(O77),O77&gt;=$N75)</formula>
    </cfRule>
    <cfRule type="expression" priority="26" dxfId="2" stopIfTrue="1">
      <formula>$B77=FALSE</formula>
    </cfRule>
    <cfRule type="expression" priority="27" dxfId="1" stopIfTrue="1">
      <formula>$C77=1</formula>
    </cfRule>
  </conditionalFormatting>
  <conditionalFormatting sqref="AC76 AC79 AC82">
    <cfRule type="expression" priority="21" dxfId="7" stopIfTrue="1">
      <formula>AND(ISNUMBER(AB77),AB77&gt;=$N75)</formula>
    </cfRule>
    <cfRule type="cellIs" priority="22" dxfId="4" operator="notBetween" stopIfTrue="1">
      <formula>0</formula>
      <formula>1</formula>
    </cfRule>
  </conditionalFormatting>
  <conditionalFormatting sqref="AC77 AC80 AC83">
    <cfRule type="expression" priority="23" dxfId="5" stopIfTrue="1">
      <formula>AND(ISNUMBER(AB77),AB77&gt;=$N75)</formula>
    </cfRule>
    <cfRule type="cellIs" priority="24" dxfId="4" operator="notBetween" stopIfTrue="1">
      <formula>0</formula>
      <formula>$N75</formula>
    </cfRule>
  </conditionalFormatting>
  <conditionalFormatting sqref="AC75 AC78 AC81">
    <cfRule type="expression" priority="18" dxfId="3" stopIfTrue="1">
      <formula>AND(ISNUMBER(AB77),AB77&gt;=$N75)</formula>
    </cfRule>
    <cfRule type="expression" priority="19" dxfId="2" stopIfTrue="1">
      <formula>$B77=FALSE</formula>
    </cfRule>
    <cfRule type="expression" priority="20" dxfId="1" stopIfTrue="1">
      <formula>$C77=1</formula>
    </cfRule>
  </conditionalFormatting>
  <conditionalFormatting sqref="L82:M83">
    <cfRule type="expression" priority="7803" dxfId="0" stopIfTrue="1">
      <formula>#REF!=1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P30:W30 P33:W33 AC21 AC24 AC27 AC30 AC33 P36:W36 P39:W39 P42:W42 P45:W45 P48:W48 P51:W51 P54:W54 P57:W57 AC36 AC39 AC42 AC45 AC48 AC51 AC54 AC57 P60:W60 P63:W63 AC60 AC63 P66:W66 P69:W69 P72:W72 AC66 AC69 AC72 P75:W75 P78:W78 P81:W81 AC75 AC78 AC81">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45" r:id="rId3"/>
  <headerFooter alignWithMargins="0">
    <oddHeader>&amp;C&amp;14I</oddHeader>
    <oddFooter>&amp;L27.476 v007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cp:lastPrinted>2023-12-26T01:13:19Z</cp:lastPrinted>
  <dcterms:created xsi:type="dcterms:W3CDTF">1998-03-27T18:43:07Z</dcterms:created>
  <dcterms:modified xsi:type="dcterms:W3CDTF">2023-12-27T10:22:46Z</dcterms:modified>
  <cp:category/>
  <cp:version/>
  <cp:contentType/>
  <cp:contentStatus/>
</cp:coreProperties>
</file>