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4550" windowHeight="5085" activeTab="2"/>
  </bookViews>
  <sheets>
    <sheet name="DADOS" sheetId="1" r:id="rId1"/>
    <sheet name="BDI (1)" sheetId="2" state="hidden" r:id="rId2"/>
    <sheet name="PO" sheetId="3" r:id="rId3"/>
    <sheet name="PLQ" sheetId="4" r:id="rId4"/>
    <sheet name="CFF" sheetId="5" r:id="rId5"/>
  </sheets>
  <definedNames>
    <definedName name="_xlfn.BAHTTEXT" hidden="1">#NAME?</definedName>
    <definedName name="_xlfn.IFERROR" hidden="1">#NAME?</definedName>
    <definedName name="_xlnm.Print_Area" localSheetId="1">'BDI (1)'!$I$1:$R$50</definedName>
    <definedName name="_xlnm.Print_Area" localSheetId="4">'CFF'!$L$1:$X$141</definedName>
    <definedName name="_xlnm.Print_Area" localSheetId="0">'DADOS'!$A$1:$X$87</definedName>
    <definedName name="_xlnm.Print_Area" localSheetId="3">'PLQ'!$B$1:$P$173</definedName>
    <definedName name="_xlnm.Print_Area" localSheetId="2">'PO'!$K$1:$T$182</definedName>
    <definedName name="DATABASE">TEXT(Import.DataBase,"mm-aaaa")</definedName>
    <definedName name="CFF.ColunaPadrão">'CFF'!$AC:$AC</definedName>
    <definedName name="CFF.Colunas">'CFF'!$P$10:$X$10</definedName>
    <definedName name="CFF.Dados">OFFSET('CFF'!$L$17,1,0):OFFSET('CFF'!$X$135,-1,-1)</definedName>
    <definedName name="CFF.IncluirLinha">MAX('PO'!$V$12:$V$167)*CFF.NumLinha-ROW('CFF'!$F$135)+ROW('CFF'!$F$17)+1</definedName>
    <definedName name="CFF.Item">OFFSET('CFF'!$L$17,1,0):OFFSET('CFF'!$X$135,-1,-1)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OFFSET('PO'!$M$12,1,0):OFFSET('PO'!$M$167,-1,0)</definedName>
    <definedName name="Import.CR">'DADOS'!$A$29</definedName>
    <definedName name="Import.CTEF">'DADOS'!$A$43</definedName>
    <definedName name="Import.CustoUnitário">OFFSET('PO'!$Q$12,1,0):OFFSET('PO'!$Q$167,-1,0)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OFFSET('PO'!$N$12,1,0):OFFSET('PO'!$N$167,-1,0)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OFFSET('PO'!$L$12,1,0):OFFSET('PO'!$L$167,-1,0)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OFFSET('PO'!$K$12,1,0):OFFSET('PO'!$K$167,-1,0)</definedName>
    <definedName name="Import.Localidade">'DADOS'!$K$32</definedName>
    <definedName name="Import.LocalSINAPI">'DADOS'!$D$38</definedName>
    <definedName name="Import.Município">'DADOS'!$G$32</definedName>
    <definedName name="Import.Nível">OFFSET('PO'!$J$12,1,0):OFFSET('PO'!$J$167,-1,0)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OFFSET('PLQ'!$F$12,1,0):OFFSET('PLQ'!$P$167,-1,-1)</definedName>
    <definedName name="Import.POArred">'PO'!$X$3:$X$7</definedName>
    <definedName name="Import.PreçoTotal">OFFSET('PO'!$T$12,1,0):OFFSET('PO'!$T$167,-1,0)</definedName>
    <definedName name="Import.PreçoUnitário">OFFSET('PO'!$S$12,1,0):OFFSET('PO'!$S$167,-1,0)</definedName>
    <definedName name="Import.Programa">'DADOS'!$F$29</definedName>
    <definedName name="Import.Proponente">'DADOS'!$A$32</definedName>
    <definedName name="Import.Quantidade">OFFSET('PO'!$P$12,1,0):OFFSET('PO'!$P$167,-1,0)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OFFSET('PO'!$O$12,1,0):OFFSET('PO'!$O$167,-1,0)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OFFSET('PO'!$Z$12,1,0):OFFSET('PO'!$Z$167,-1,0)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'PO'!$K$168</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'PLQ'!$B$9:OFFSET('PLQ'!$B$167,-1,0)</definedName>
    <definedName name="PLQ.LinhaPadrão">'PLQ'!$A$11:$P$11</definedName>
    <definedName name="PLQ.qtde.frentes">COUNTA('PLQ'!$F$9:$P$9)</definedName>
    <definedName name="PO.BDI">OFFSET('PO'!$R$12,1,0):OFFSET('PO'!$R$167,-1,0)</definedName>
    <definedName name="PO.CustoRef">OFFSET('PO'!$Y$12,1,0):OFFSET('PO'!$Y$167,-1,0)</definedName>
    <definedName name="PO.CustoUnitario">ROUND('PO'!$Q1,15-13*'PO'!$X$4)</definedName>
    <definedName name="PO.Dados">'PO'!$C$12:OFFSET('PO'!$Z$167,-1,0)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"&amp;DATABASE&amp;".xls]Banco'!$b:$g"),'PO'!linhaSINAPIxls,3),"")</definedName>
    <definedName name="Referencia.Desonerado">IF(ISNUMBER('PO'!linhaSINAPIxls),VALUE(INDEX(INDIRECT("'[Referência "&amp;DATABASE&amp;".xls]Banco'!$b:$g"),'PO'!linhaSINAPIxls,5)),0)</definedName>
    <definedName name="Referencia.NaoDesonerado">IF(ISNUMBER('PO'!linhaSINAPIxls),VALUE(INDEX(INDIRECT("'[Referência "&amp;DATABASE&amp;".xls]Banco'!$b:$g"),'PO'!linhaSINAPIxls,6)),0)</definedName>
    <definedName name="Referencia.Unidade">IF(ISNUMBER('PO'!linhaSINAPIxls),INDEX(INDIRECT("'[Referência "&amp;DATABASE&amp;".xls]Banco'!$b:$g"),'PO'!linhaSINAPIxls,4),"")</definedName>
    <definedName name="SaldoPerc">1-IF(ISNUMBER('CFF'!#REF!),'CFF'!#REF!,0)</definedName>
    <definedName name="SENHAGT" hidden="1">"quantidades"</definedName>
    <definedName name="SomaAgrup">SUMIF(OFFSET('PO'!$A1,1,0,'PO'!$B1),"S",OFFSET('PO'!A1,1,0,'PO'!$B1))</definedName>
    <definedName name="TipoOrçamento">"LICITADO"</definedName>
    <definedName name="_xlnm.Print_Titles" localSheetId="4">'CFF'!$L:$O,'CFF'!$10:$10</definedName>
    <definedName name="_xlnm.Print_Titles" localSheetId="3">'PLQ'!$B:$E,'PLQ'!$9:$10</definedName>
    <definedName name="_xlnm.Print_Titles" localSheetId="2">'PO'!$10:$10</definedName>
    <definedName name="Versao">'DADOS'!$A$2</definedName>
    <definedName name="VTOTAL1">ROUND(PO.Quantidade*PO.PrecoUnitario,15-13*'PO'!$X$7)</definedName>
  </definedNames>
  <calcPr fullCalcOnLoad="1"/>
</workbook>
</file>

<file path=xl/sharedStrings.xml><?xml version="1.0" encoding="utf-8"?>
<sst xmlns="http://schemas.openxmlformats.org/spreadsheetml/2006/main" count="1316" uniqueCount="491">
  <si>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</si>
  <si>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</si>
  <si>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</si>
  <si>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</si>
  <si>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</si>
  <si>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</si>
  <si>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</si>
  <si>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</si>
  <si>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</si>
  <si>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</si>
  <si>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</si>
  <si>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</si>
  <si>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</si>
  <si>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</si>
  <si>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</si>
  <si>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</si>
  <si>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</si>
  <si>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</si>
  <si>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</si>
  <si>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</si>
  <si>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</si>
  <si>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</si>
  <si>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</si>
  <si>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</si>
  <si>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</si>
  <si>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</si>
  <si>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</si>
  <si>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</si>
  <si>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</si>
  <si>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</si>
  <si>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</si>
  <si>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</si>
  <si>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</si>
  <si>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</si>
  <si>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</si>
  <si>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</si>
  <si>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</si>
  <si>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</si>
  <si>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</si>
  <si>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</si>
  <si>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</si>
  <si>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</si>
  <si>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</si>
  <si>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</si>
  <si>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</si>
  <si>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</si>
  <si>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</si>
  <si>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</si>
  <si>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</si>
  <si>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</si>
  <si>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</si>
  <si>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</si>
  <si>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</si>
  <si>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</si>
  <si>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</si>
  <si>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</si>
  <si>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</si>
  <si>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</si>
  <si>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</si>
  <si>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</si>
  <si>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</si>
  <si>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</si>
  <si>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</si>
  <si>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</si>
  <si>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</si>
  <si>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</si>
  <si>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</si>
  <si>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</si>
  <si>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</si>
  <si>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</si>
  <si>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</si>
  <si>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</si>
  <si>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</si>
  <si>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</si>
  <si>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</si>
  <si>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</si>
  <si>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</si>
  <si>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</si>
  <si>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</si>
  <si>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</si>
  <si>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</si>
  <si>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</si>
  <si>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</si>
  <si>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</si>
  <si>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</si>
  <si>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</si>
  <si>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</si>
  <si>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</si>
  <si>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</si>
  <si>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</si>
  <si>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</si>
  <si>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</si>
  <si>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</si>
  <si>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</si>
  <si>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</si>
  <si>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</si>
  <si>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</si>
  <si>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</si>
  <si>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</si>
  <si>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</si>
  <si>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</si>
  <si>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</si>
  <si>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</si>
  <si>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</si>
  <si>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</si>
  <si>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</si>
  <si>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</si>
  <si>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</si>
  <si>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</si>
  <si>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</si>
  <si>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</si>
  <si>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</si>
  <si>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</si>
  <si>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</si>
  <si>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</si>
  <si>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</si>
  <si>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</si>
  <si>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</si>
  <si>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</si>
  <si>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</si>
  <si>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</si>
  <si>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</si>
  <si>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</si>
  <si>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</si>
  <si>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</si>
  <si>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</si>
  <si>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</si>
  <si>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</si>
  <si>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</si>
  <si>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</si>
  <si>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</si>
  <si>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</si>
  <si>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</si>
  <si>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</si>
  <si>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</si>
  <si>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</si>
  <si>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</si>
  <si>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</si>
  <si>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</si>
  <si>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</si>
  <si>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</si>
  <si>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</si>
  <si>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</si>
  <si>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</si>
  <si>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</si>
  <si>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</si>
  <si>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</si>
  <si>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</si>
  <si>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</si>
  <si>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</si>
  <si>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</si>
  <si>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</si>
  <si>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</si>
  <si>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</si>
  <si>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</si>
  <si>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</si>
  <si>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</si>
  <si>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</si>
  <si>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</si>
  <si>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</si>
  <si>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</si>
  <si>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</si>
  <si>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</si>
  <si>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</si>
  <si>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</si>
  <si>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</si>
  <si>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</si>
  <si>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</si>
  <si>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</si>
  <si>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</si>
  <si>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</si>
  <si>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</si>
  <si>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</si>
  <si>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</si>
  <si>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</si>
  <si>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</si>
  <si>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</si>
  <si>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</si>
  <si>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</si>
  <si>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</si>
  <si>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</si>
  <si>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</si>
  <si>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</si>
  <si>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</si>
  <si>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</si>
  <si>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</si>
  <si>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</si>
  <si>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</si>
  <si>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</si>
  <si>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</si>
  <si>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</si>
  <si>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</si>
  <si>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</si>
  <si>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</si>
  <si>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</si>
  <si>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</si>
  <si>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</si>
  <si>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</si>
  <si>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</si>
  <si>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</si>
  <si>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</si>
  <si>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</si>
  <si>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</si>
  <si>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</si>
  <si>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</si>
  <si>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</si>
  <si>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</si>
  <si>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</si>
  <si>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</si>
  <si>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</si>
  <si>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</si>
  <si>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</si>
  <si>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</si>
  <si>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</si>
  <si>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</si>
  <si>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</si>
  <si>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</si>
  <si>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</si>
  <si>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</si>
  <si>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</si>
  <si>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</si>
  <si>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</si>
  <si>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</si>
  <si>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</si>
  <si>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</si>
  <si>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</si>
  <si>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</si>
  <si>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</si>
  <si>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</si>
  <si>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NÃO</t>
  </si>
  <si>
    <t>Não</t>
  </si>
  <si>
    <t xml:space="preserve">DEMOLIÇÕES E REMOÇÕES EM GERAL </t>
  </si>
  <si>
    <t xml:space="preserve">DEMOLIÇÕES  </t>
  </si>
  <si>
    <t>SINAPI</t>
  </si>
  <si>
    <t>97622</t>
  </si>
  <si>
    <t>97638</t>
  </si>
  <si>
    <t>97628</t>
  </si>
  <si>
    <t xml:space="preserve">REMOÇÕES </t>
  </si>
  <si>
    <t>104792</t>
  </si>
  <si>
    <t>97665</t>
  </si>
  <si>
    <t>97666</t>
  </si>
  <si>
    <t>97644</t>
  </si>
  <si>
    <t>97645</t>
  </si>
  <si>
    <t>93358</t>
  </si>
  <si>
    <t>94964</t>
  </si>
  <si>
    <t>92270</t>
  </si>
  <si>
    <t>96546</t>
  </si>
  <si>
    <t>96543</t>
  </si>
  <si>
    <t>98557</t>
  </si>
  <si>
    <t>92269</t>
  </si>
  <si>
    <t>92763</t>
  </si>
  <si>
    <t>92759</t>
  </si>
  <si>
    <t>101964</t>
  </si>
  <si>
    <t>1</t>
  </si>
  <si>
    <t>94231</t>
  </si>
  <si>
    <t>94228</t>
  </si>
  <si>
    <t xml:space="preserve">EXECUÇÃO DE PAREDES </t>
  </si>
  <si>
    <t>103330</t>
  </si>
  <si>
    <t xml:space="preserve">INSTALAÇÕES EM GERAL </t>
  </si>
  <si>
    <t xml:space="preserve">INSTALAÇÕES HIDRAULICAS </t>
  </si>
  <si>
    <t>SINAPI-I</t>
  </si>
  <si>
    <t>9868</t>
  </si>
  <si>
    <t>89617</t>
  </si>
  <si>
    <t>3904</t>
  </si>
  <si>
    <t>INSTALAÇÕES SANITÁRIAS</t>
  </si>
  <si>
    <t>89848</t>
  </si>
  <si>
    <t>89799</t>
  </si>
  <si>
    <t>89798</t>
  </si>
  <si>
    <t>89711</t>
  </si>
  <si>
    <t>20157</t>
  </si>
  <si>
    <t>3519</t>
  </si>
  <si>
    <t>20149</t>
  </si>
  <si>
    <t>1970</t>
  </si>
  <si>
    <t>1968</t>
  </si>
  <si>
    <t>89857</t>
  </si>
  <si>
    <t>89819</t>
  </si>
  <si>
    <t>89814</t>
  </si>
  <si>
    <t>89833</t>
  </si>
  <si>
    <t>104352</t>
  </si>
  <si>
    <t>104354</t>
  </si>
  <si>
    <t>89782</t>
  </si>
  <si>
    <t>89709</t>
  </si>
  <si>
    <t>11732</t>
  </si>
  <si>
    <t>97901</t>
  </si>
  <si>
    <t xml:space="preserve">INSTALAÇÕES ELÉTRICAS </t>
  </si>
  <si>
    <t>91925</t>
  </si>
  <si>
    <t>91926</t>
  </si>
  <si>
    <t>91928</t>
  </si>
  <si>
    <t>91953</t>
  </si>
  <si>
    <t>95471</t>
  </si>
  <si>
    <t>86903</t>
  </si>
  <si>
    <t>86915</t>
  </si>
  <si>
    <t>6005</t>
  </si>
  <si>
    <t>377</t>
  </si>
  <si>
    <t>11186</t>
  </si>
  <si>
    <t>95546</t>
  </si>
  <si>
    <t>INTERNAS</t>
  </si>
  <si>
    <t>87904</t>
  </si>
  <si>
    <t>87775</t>
  </si>
  <si>
    <t>104611</t>
  </si>
  <si>
    <t>94438</t>
  </si>
  <si>
    <t>98695</t>
  </si>
  <si>
    <t>2</t>
  </si>
  <si>
    <t xml:space="preserve">PINTURA </t>
  </si>
  <si>
    <t>88497</t>
  </si>
  <si>
    <t>88489</t>
  </si>
  <si>
    <t xml:space="preserve">COBERTURA E CALHAS </t>
  </si>
  <si>
    <t>REBOCO INTERNO</t>
  </si>
  <si>
    <t>ESQUADRIAS</t>
  </si>
  <si>
    <t>pref</t>
  </si>
  <si>
    <t>97640</t>
  </si>
  <si>
    <t>90795</t>
  </si>
  <si>
    <t>3</t>
  </si>
  <si>
    <t>4</t>
  </si>
  <si>
    <t>5</t>
  </si>
  <si>
    <t>6</t>
  </si>
  <si>
    <t>7</t>
  </si>
  <si>
    <t>COMPOSIÇÃO</t>
  </si>
  <si>
    <t>REVESTIMENTO DO PISO INTERNO</t>
  </si>
  <si>
    <t>REVESTIMENTO DO PISO EXTERNO</t>
  </si>
  <si>
    <t>REVESTIMENTOS</t>
  </si>
  <si>
    <t>REVESTIMENTO DAS PAREDES INTERNAS</t>
  </si>
  <si>
    <t>87260</t>
  </si>
  <si>
    <t>90793</t>
  </si>
  <si>
    <t>93441</t>
  </si>
  <si>
    <t>96114</t>
  </si>
  <si>
    <t>96368</t>
  </si>
  <si>
    <t>88488</t>
  </si>
  <si>
    <t>INSTALAÇÃO DE LOUÇAS E METAIS</t>
  </si>
  <si>
    <t>101175</t>
  </si>
  <si>
    <t>FUNDAÇÕES SUPERFICIAIS - ESTACAS</t>
  </si>
  <si>
    <t>101159</t>
  </si>
  <si>
    <t>Prefeito Municipal</t>
  </si>
  <si>
    <t>REFORMA FINAL PADU</t>
  </si>
  <si>
    <t>REFORMA PADU</t>
  </si>
  <si>
    <t>Municipio de Entre Rios do Sul</t>
  </si>
  <si>
    <t>Entre Rios do Sul</t>
  </si>
  <si>
    <t>Rua Rui Barbosa</t>
  </si>
  <si>
    <t>PADU</t>
  </si>
  <si>
    <t>REFORMA DO PRONTO ATENDIMENTO DE URGÊNCIA DE ENTRE RIOS DO SUL</t>
  </si>
  <si>
    <t>29 de janeiro de 2024</t>
  </si>
  <si>
    <t>Irson Milani</t>
  </si>
  <si>
    <t xml:space="preserve"> ESTRUTURA DO ELEVADOR</t>
  </si>
  <si>
    <t>PIA DE DESPEJO</t>
  </si>
  <si>
    <t>PINTURA INTERNA DE PAREDES</t>
  </si>
  <si>
    <t>PINTURA DE FORROS</t>
  </si>
  <si>
    <t>sinapi</t>
  </si>
  <si>
    <t>88496</t>
  </si>
  <si>
    <t>88484</t>
  </si>
  <si>
    <t>INSTALAÇÃO DE FORRO</t>
  </si>
  <si>
    <t>VIGAMENTO DE BALDRAME, INTERMEDIÁRIO E FORRO</t>
  </si>
  <si>
    <t>EXECUÇÃO DOS PILARES DE SUSTENTAÇÃO DO ELEVADOR E LAJE</t>
  </si>
  <si>
    <t>97633</t>
  </si>
  <si>
    <t>101727</t>
  </si>
  <si>
    <t>92002</t>
  </si>
  <si>
    <t>8</t>
  </si>
  <si>
    <t>PINTURA DE ESQUADRIAS</t>
  </si>
  <si>
    <t>102217</t>
  </si>
  <si>
    <t>102193</t>
  </si>
  <si>
    <t>LIMPEZA FINAL DE OBRA</t>
  </si>
  <si>
    <t>99806</t>
  </si>
  <si>
    <t>99808</t>
  </si>
  <si>
    <t>99807</t>
  </si>
  <si>
    <t>CONSTRUÇÃO DO ABRIGO TEMPORÁRIO DE RESÍDUOS</t>
  </si>
  <si>
    <t xml:space="preserve">FUNDAÇÕES SUPERFICIAIS </t>
  </si>
  <si>
    <t xml:space="preserve">VIGAMENTO DE BADRAME      </t>
  </si>
  <si>
    <t>EXECUÇÃO DOS PILARES DE SUSTENTAÇÃO DA LAJE DE FORRO (4 Pilaretes na frente p/fixação das portas)</t>
  </si>
  <si>
    <t>EXECUÇÃO DA ESTRUTURA - LAJE DE FORRO</t>
  </si>
  <si>
    <t>EXECUÇÃO DE ALVENARIA ATÉ A LAJE DE FORRO</t>
  </si>
  <si>
    <t xml:space="preserve">PISO     </t>
  </si>
  <si>
    <t>89171</t>
  </si>
  <si>
    <t>REBOCO INTERNO (Paredes e teto)</t>
  </si>
  <si>
    <t>87879</t>
  </si>
  <si>
    <t>87528</t>
  </si>
  <si>
    <t>87273</t>
  </si>
  <si>
    <t>REBOCO EXTERNO</t>
  </si>
  <si>
    <t>PINTURA EXTERNA</t>
  </si>
  <si>
    <t>88485</t>
  </si>
  <si>
    <t>88431</t>
  </si>
  <si>
    <t>PINTURA INTERNA-TETO</t>
  </si>
  <si>
    <t>ESQUADRIAS DE ALUMÍNIO</t>
  </si>
  <si>
    <t>91341</t>
  </si>
  <si>
    <t>EXECUÇÃO DE PILARES EM AÇO 10 mm</t>
  </si>
  <si>
    <t>DEMOLIÇÃO DE ALVENARIA DE BLOCO FURADO, DE FORMA MANUAL, SEM REAPROVEITAMENTO. AF_09/2023</t>
  </si>
  <si>
    <t>REMOÇÃO DE CHAPAS E PERFIS DE DRYWALL, DE FORMA MANUAL, SEM REAPROVEITAMENTO. AF_09/2023</t>
  </si>
  <si>
    <t>DEMOLIÇÃO DE LAJES, EM CONCRETO ARMADO, DE FORMA MANUAL, SEM REAPROVEITAMENTO. AF_09/2023</t>
  </si>
  <si>
    <t>ESCAVAÇÃO MANUAL DE VALA COM PROFUNDIDADE MENOR OU IGUAL A 1,30 M. AF_02/2021</t>
  </si>
  <si>
    <t>REMOÇÃO DE CABOS ELÉTRICOS, COM SEÇÃO DE ATÉ 2,5 MM², DE FORMA MANUAL, SEM REAPROVEITAMENTO. AF_09/2023</t>
  </si>
  <si>
    <t>REMOÇÃO DE LUMINÁRIAS, DE FORMA MANUAL, SEM REAPROVEITAMENTO. AF_09/2023</t>
  </si>
  <si>
    <t>REMOÇÃO DE METAIS SANITÁRIOS, DE FORMA MANUAL, SEM REAPROVEITAMENTO. AF_09/2023</t>
  </si>
  <si>
    <t>REMOÇÃO DE PORTAS, DE FORMA MANUAL, SEM REAPROVEITAMENTO. AF_09/2023</t>
  </si>
  <si>
    <t>REMOÇÃO DE JANELAS, DE FORMA MANUAL, SEM REAPROVEITAMENTO. AF_09/2023</t>
  </si>
  <si>
    <t>REMOÇÃO DE FORROS DE DRYWALL, PVC E FIBROMINERAL, DE FORMA MANUAL, SEM REAPROVEITAMENTO. AF_09/2023</t>
  </si>
  <si>
    <t>DEMOLIÇÃO DE REVESTIMENTO CERÂMICO, DE FORMA MANUAL, SEM REAPROVEITAMENTO. AF_09/2023</t>
  </si>
  <si>
    <t>ESTACA BROCA DE CONCRETO, DIÂMETRO DE 30CM, ESCAVAÇÃO MANUAL COM TRADO CONCHA, COM ARMADURA DE ARRANQUE. AF_05/2020</t>
  </si>
  <si>
    <t>FABRICAÇÃO DE FÔRMA PARA VIGAS, COM MADEIRA SERRADA, E = 25 MM. AF_09/2020</t>
  </si>
  <si>
    <t>ARMAÇÃO DE BLOCO, VIGA BALDRAME OU SAPATA UTILIZANDO AÇO CA-50 DE 10 MM - MONTAGEM. AF_06/2017</t>
  </si>
  <si>
    <t>ARMAÇÃO DE BLOCO, VIGA BALDRAME E SAPATA UTILIZANDO AÇO CA-60 DE 5 MM - MONTAGEM. AF_06/2017</t>
  </si>
  <si>
    <t>CONCRETO FCK = 20MPA, TRAÇO 1:2,7:3 (EM MASSA SECA DE CIMENTO/ AREIA MÉDIA/ BRITA 1) - PREPARO MECÂNICO COM BETONEIRA 400 L. AF_05/2021</t>
  </si>
  <si>
    <t>IMPERMEABILIZAÇÃO DE SUPERFÍCIE COM EMULSÃO ASFÁLTICA, 2 DEMÃOS. AF_09/2023</t>
  </si>
  <si>
    <t>FABRICAÇÃO DE FÔRMA PARA PILARES E ESTRUTURAS SIMILARES, EM MADEIRA SERRADA, E=25 MM. AF_09/2020</t>
  </si>
  <si>
    <t>ARMAÇÃO DE PILAR OU VIGA DE ESTRUTURA CONVENCIONAL DE CONCRETO ARMADO UTILIZANDO AÇO CA-50 DE 12,5 MM - MONTAGEM. AF_06/2022</t>
  </si>
  <si>
    <t>ARMAÇÃO DE PILAR OU VIGA DE ESTRUTURA CONVENCIONAL DE CONCRETO ARMADO UTILIZANDO AÇO CA-60 DE 5,0 MM - MONTAGEM. AF_06/2022</t>
  </si>
  <si>
    <t>LAJE PRÉ-MOLDADA UNIDIRECIONAL, BIAPOIADA, PARA FORRO, ENCHIMENTO EM CERÂMICA, VIGOTA CONVENCIONAL, ALTURA TOTAL DA LAJE (ENCHIMENTO+CAPA) = (8+3). AF_11/2020_PA</t>
  </si>
  <si>
    <t>RUFO EM CHAPA DE AÇO GALVANIZADO NÚMERO 24, CORTE DE 25 CM, INCLUSO TRANSPORTE VERTICAL. AF_07/2019</t>
  </si>
  <si>
    <t>CALHA EM CHAPA DE AÇO GALVANIZADO NÚMERO 24, DESENVOLVIMENTO DE 50 CM, INCLUSO TRANSPORTE VERTICAL. AF_07/2019</t>
  </si>
  <si>
    <t>ALVENARIA DE VEDAÇÃO DE BLOCOS CERÂMICOS FURADOS NA HORIZONTAL DE 11,5X19X19 CM (ESPESSURA 11,5 CM) E ARGAMASSA DE ASSENTAMENTO COM PREPARO EM BETONEIRA. AF_12/2021</t>
  </si>
  <si>
    <t>ALVENARIA DE VEDAÇÃO DE BLOCOS CERÂMICOS MACIÇOS DE 5X10X20CM (ESPESSURA 10CM) E ARGAMASSA DE ASSENTAMENTO COM PREPARO EM BETONEIRA. AF_05/2020</t>
  </si>
  <si>
    <t>PAREDE COM SISTEMA EM CHAPAS DE GESSO PARA DRYWALL, USO INTERNO COM DUAS FACES DUPLAS E ESTRUTURA METÁLICA COM GUIAS DUPLAS, SEM VÃOS. AF_07/2023_PS</t>
  </si>
  <si>
    <t>CHAPISCO APLICADO EM ALVENARIA (COM PRESENÇA DE VÃOS) E ESTRUTURAS DE CONCRETO DE FACHADA, COM COLHER DE PEDREIRO.  ARGAMASSA TRAÇO 1:3 COM PREPARO MANUAL. AF_10/2022</t>
  </si>
  <si>
    <t>EMBOÇO OU MASSA ÚNICA EM ARGAMASSA TRAÇO 1:2:8, PREPARO MECÂNICO COM BETONEIRA 400 L, APLICADA MANUALMENTE EM PANOS DE FACHADA COM PRESENÇA DE VÃOS, ESPESSURA DE 25 MM. AF_08/2022</t>
  </si>
  <si>
    <t>REVESTIMENTO EM MASSA FINA</t>
  </si>
  <si>
    <t>PISO VINÍLICO SEMI-FLEXÍVEL EM PLACAS, PADRÃO LISO, ESPESSURA 3,2 MM, FIXADO COM COLA. AF_09/2020</t>
  </si>
  <si>
    <t>SOLEIRA EM MÁRMORE, LARGURA 15 CM, ESPESSURA 2,0 CM. AF_09/2020</t>
  </si>
  <si>
    <t>REVESTIMENTO CERÂMICO PARA PISO COM PLACAS TIPO PORCELANATO DE DIMENSÕES 45X45 CM APLICADA EM AMBIENTES DE ÁREA MAIOR QUE 10 M². AF_02/2023_PE</t>
  </si>
  <si>
    <t>REVESTIMENTO CERÂMICO PARA PAREDES INTERNAS COM PLACAS TIPO ESMALTADA EXTRA DE DIMENSÕES 60X60 CM APLICADAS NA ALTURA INTEIRA DAS PAREDES. AF_02/2023_PE</t>
  </si>
  <si>
    <t>FORRO EM DRYWALL, PARA AMBIENTES COMERCIAIS, INCLUSIVE ESTRUTURA BIRECIONAL DE FIXAÇÃO. AF_08/2023_PS</t>
  </si>
  <si>
    <t>ESTRUTURA METÁLICA DE SUSTENTAÇÃO DA LAJE DA SALA DE OBSERVAÇÃO 01</t>
  </si>
  <si>
    <t xml:space="preserve">TUBO PVC, SOLDAVEL, DE 25 MM, AGUA FRIA (NBR-5648)                                                                                                                                                                                                                                                                                                                                                                                                                                                        </t>
  </si>
  <si>
    <t>TE, PVC, SOLDÁVEL, DN 25MM, INSTALADO EM PRUMADA DE ÁGUA - FORNECIMENTO E INSTALAÇÃO. AF_06/2022</t>
  </si>
  <si>
    <t xml:space="preserve">LUVA PVC SOLDAVEL, 25 MM, PARA AGUA FRIA PREDIAL                                                                                                                                                                                                                                                                                                                                                                                                                                                          </t>
  </si>
  <si>
    <t>TUBO PVC, SERIE NORMAL, ESGOTO PREDIAL, DN 100 MM, FORNECIDO E INSTALADO EM SUBCOLETOR AÉREO DE ESGOTO SANITÁRIO. AF_08/2022</t>
  </si>
  <si>
    <t>TUBO PVC, SERIE NORMAL, ESGOTO PREDIAL, DN 75 MM, FORNECIDO E INSTALADO EM PRUMADA DE ESGOTO SANITÁRIO OU VENTILAÇÃO. AF_08/2022</t>
  </si>
  <si>
    <t>TUBO PVC, SERIE NORMAL, ESGOTO PREDIAL, DN 50 MM, FORNECIDO E INSTALADO EM PRUMADA DE ESGOTO SANITÁRIO OU VENTILAÇÃO. AF_08/2022</t>
  </si>
  <si>
    <t>TUBO PVC, SERIE NORMAL, ESGOTO PREDIAL, DN 40 MM, FORNECIDO E INSTALADO EM RAMAL DE DESCARGA OU RAMAL DE ESGOTO SANITÁRIO. AF_08/2022</t>
  </si>
  <si>
    <t xml:space="preserve">JOELHO, PVC SERIE R, 90 GRAUS, DN 100 MM, PARA ESGOTO PREDIAL                                                                                                                                                                                                                                                                                                                                                                                                                                             </t>
  </si>
  <si>
    <t xml:space="preserve">JOELHO PVC, SOLDAVEL, PB, 45 GRAUS, DN 75 MM, PARA ESGOTO PREDIAL                                                                                                                                                                                                                                                                                                                                                                                                                                         </t>
  </si>
  <si>
    <t xml:space="preserve">JOELHO, PVC SERIE R, 45 GRAUS, DN 50 MM, PARA ESGOTO PREDIAL                                                                                                                                                                                                                                                                                                                                                                                                                                              </t>
  </si>
  <si>
    <t xml:space="preserve">CURVA PVC LONGA 90 GRAUS, DN 100 MM, PARA ESGOTO PREDIAL                                                                                                                                                                                                                                                                                                                                                                                                                                                  </t>
  </si>
  <si>
    <t xml:space="preserve">CURVA PVC LONGA 90 GRAUS, DN 50 MM, PARA ESGOTO PREDIAL                                                                                                                                                                                                                                                                                                                                                                                                                                                   </t>
  </si>
  <si>
    <t>LUVA DE CORRER, PVC, SERIE NORMAL, ESGOTO PREDIAL, DN 100 MM, JUNTA ELÁSTICA, FORNECIDO E INSTALADO EM SUBCOLETOR AÉREO DE ESGOTO SANITÁRIO. AF_08/2022</t>
  </si>
  <si>
    <t>LUVA DE CORRER, PVC, SERIE NORMAL, ESGOTO PREDIAL, DN 75 MM, JUNTA ELÁSTICA, FORNECIDO E INSTALADO EM PRUMADA DE ESGOTO SANITÁRIO OU VENTILAÇÃO. AF_08/2022</t>
  </si>
  <si>
    <t>LUVA DE CORRER, PVC, SERIE NORMAL, ESGOTO PREDIAL, DN 50 MM, JUNTA ELÁSTICA, FORNECIDO E INSTALADO EM PRUMADA DE ESGOTO SANITÁRIO OU VENTILAÇÃO. AF_08/2022</t>
  </si>
  <si>
    <t>TE, PVC, SERIE NORMAL, ESGOTO PREDIAL, DN 100 X 100 MM, JUNTA ELÁSTICA, FORNECIDO E INSTALADO EM PRUMADA DE ESGOTO SANITÁRIO OU VENTILAÇÃO. AF_08/2022</t>
  </si>
  <si>
    <t>TE, PVC, SÉRIE NORMAL, ESGOTO PREDIAL, DN 100 X 50 MM, JUNTA ELÁSTICA, FORNECIDO E INSTALADO EM PRUMADA DE ESGOTO SANITÁRIO OU VENTILAÇÃO. AF_08/2022</t>
  </si>
  <si>
    <t>TE, PVC, SÉRIE NORMAL, ESGOTO PREDIAL, DN 100 X 75 MM, JUNTA ELÁSTICA, FORNECIDO E INSTALADO EM PRUMADA DE ESGOTO SANITÁRIO OU VENTILAÇÃO. AF_08/2022</t>
  </si>
  <si>
    <t>TE, PVC, SERIE NORMAL, ESGOTO PREDIAL, DN 40 X 40 MM, JUNTA SOLDÁVEL, FORNECIDO E INSTALADO EM RAMAL DE DESCARGA OU RAMAL DE ESGOTO SANITÁRIO. AF_08/2022</t>
  </si>
  <si>
    <t>RALO SIFONADO, PVC, DN 100 X 40 MM, JUNTA SOLDÁVEL, FORNECIDO E INSTALADO EM RAMAL DE DESCARGA OU EM RAMAL DE ESGOTO SANITÁRIO. AF_08/2022</t>
  </si>
  <si>
    <t xml:space="preserve">GRELHA FIXA, PVC CROMADA, REDONDA, 150 MM, PARA RALOS E CAIXAS                                                                                                                                                                                                                                                                                                                                                                                                                                            </t>
  </si>
  <si>
    <t>CAIXA ENTERRADA HIDRÁULICA RETANGULAR EM ALVENARIA COM TIJOLOS CERÂMICOS MACIÇOS, DIMENSÕES INTERNAS: 0,4X0,4X0,4 M PARA REDE DE ESGOTO. AF_12/2020</t>
  </si>
  <si>
    <t>TOMADA MÉDIA DE EMBUTIR (2 MÓDULOS), 2P+T 10 A, SEM SUPORTE E SEM PLACA - FORNECIMENTO E INSTALAÇÃO. AF_03/2023</t>
  </si>
  <si>
    <t>INTERRUPTOR SIMPLES (1 MÓDULO), 10A/250V, INCLUINDO SUPORTE E PLACA - FORNECIMENTO E INSTALAÇÃO. AF_03/2023</t>
  </si>
  <si>
    <t>CABO DE COBRE FLEXÍVEL ISOLADO, 1,5 MM², ANTI-CHAMA 0,6/1,0 KV, PARA CIRCUITOS TERMINAIS - FORNECIMENTO E INSTALAÇÃO. AF_03/2023</t>
  </si>
  <si>
    <t>CABO DE COBRE FLEXÍVEL ISOLADO, 2,5 MM², ANTI-CHAMA 450/750 V, PARA CIRCUITOS TERMINAIS - FORNECIMENTO E INSTALAÇÃO. AF_03/2023</t>
  </si>
  <si>
    <t>CABO DE COBRE FLEXÍVEL ISOLADO, 4 MM², ANTI-CHAMA 450/750 V, PARA CIRCUITOS TERMINAIS - FORNECIMENTO E INSTALAÇÃO. AF_03/2023</t>
  </si>
  <si>
    <t>INSTALAÇÃO DE PLAFON 24 W 6500K</t>
  </si>
  <si>
    <t>INSTALAÇÃO DE PLAFON 18 W 6500K</t>
  </si>
  <si>
    <t>TOMADA PARA INSTALAÇÃO DE AR CONDICIONADO</t>
  </si>
  <si>
    <t>VASO SANITARIO SIFONADO CONVENCIONAL PARA PCD SEM FURO FRONTAL COM  LOUÇA BRANCA SEM ASSENTO -  FORNECIMENTO E INSTALAÇÃO. AF_01/2020</t>
  </si>
  <si>
    <t>LAVATÓRIO LOUÇA BRANCA COM COLUNA, 45 X 55CM OU EQUIVALENTE, PADRÃO MÉDIO - FORNECIMENTO E INSTALAÇÃO. AF_01/2020</t>
  </si>
  <si>
    <t>TORNEIRA CROMADA DE MESA, 1/2 OU 3/4, PARA LAVATÓRIO, PADRÃO MÉDIO - FORNECIMENTO E INSTALAÇÃO. AF_01/2020</t>
  </si>
  <si>
    <t xml:space="preserve">REGISTRO GAVETA COM ACABAMENTO E CANOPLA CROMADOS, SIMPLES, BITOLA 3/4 " (REF 1509)                                                                                                                                                                                                                                                                                                                                                                                                                       </t>
  </si>
  <si>
    <t xml:space="preserve">ASSENTO SANITARIO DE PLASTICO, TIPO CONVENCIONAL                                                                                                                                                                                                                                                                                                                                                                                                                                                          </t>
  </si>
  <si>
    <t xml:space="preserve">ESPELHO CRISTAL E = 4 MM                                                                                                                                                                                                                                                                                                                                                                                                                                                                                  </t>
  </si>
  <si>
    <t>KIT DE ACESSORIOS PARA BANHEIRO EM METAL CROMADO, 5 PECAS, INCLUSO FIXAÇÃO. AF_01/2020</t>
  </si>
  <si>
    <t>BANCADA GRANITO CINZA  150 X 60 CM, COM CUBA DE EMBUTIR DE AÇO, VÁLVULA AMERICANA EM METAL, SIFÃO FLEXÍVEL EM PVC, ENGATE FLEXÍVEL 30 CM, TORNEIRA CROMADA LONGA, DE PAREDE, 1/2 OU 3/4, P/ COZINHA, PADRÃO POPULAR - FORNEC. E INSTALAÇÃO. AF_01/2020</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</si>
  <si>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</si>
  <si>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70X210CM, FIXAÇÃO COM ARGAMASSA - FORNECIMENTO E INSTALAÇÃO. AF_12/2019</t>
  </si>
  <si>
    <t>LIXAMENTO DE PAREDE PARA APLICAÇÃO DE FUNDO PREPARADOR</t>
  </si>
  <si>
    <t>APLICAÇÃO DE FUNDO PREPARADOR</t>
  </si>
  <si>
    <t>EMASSAMENTO COM MASSA LÁTEX, APLICAÇÃO EM PAREDE, DUAS DEMÃOS, LIXAMENTO MANUAL. AF_04/2023</t>
  </si>
  <si>
    <t>PINTURA LÁTEX ACRÍLICA PREMIUM, APLICAÇÃO MANUAL EM PAREDES, DUAS DEMÃOS. AF_04/2023</t>
  </si>
  <si>
    <t>EMASSAMENTO COM MASSA LÁTEX, APLICAÇÃO EM TETO, DUAS DEMÃOS, LIXAMENTO MANUAL. AF_04/2023</t>
  </si>
  <si>
    <t>FUNDO SELADOR ACRÍLICO, APLICAÇÃO MANUAL EM TETO, UMA DEMÃO. AF_04/2023</t>
  </si>
  <si>
    <t>PINTURA LÁTEX ACRÍLICA PREMIUM, APLICAÇÃO MANUAL EM TETO, DUAS DEMÃOS. AF_04/2023</t>
  </si>
  <si>
    <t>LIXAMENTO DE MADEIRA PARA APLICAÇÃO DE FUNDO OU PINTURA. AF_01/2021</t>
  </si>
  <si>
    <t>PINTURA TINTA DE ACABAMENTO (PIGMENTADA) A ÓLEO EM MADEIRA, 2 DEMÃOS. AF_01/2021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</si>
  <si>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</si>
  <si>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REVESTIMENTO CERÂMICO PARA PISO COM PLACAS TIPO ESMALTADA EXTRA DE DIMENSÕES 35X35 CM, PARA EDIFICAÇÃO HABITACIONAL UNIFAMILIAR (CASA) E EDIFICAÇÃO PÚBLICA PADRÃO. AF_11/2014</t>
  </si>
  <si>
    <t>CHAPISCO APLICADO EM ALVENARIAS E ESTRUTURAS DE CONCRETO INTERNAS, COM COLHER DE PEDREIRO.  ARGAMASSA TRAÇO 1:3 COM PREPARO EM BETONEIRA 400L. AF_10/2022</t>
  </si>
  <si>
    <t>EMBOÇO, PARA RECEBIMENTO DE CERÂMICA, EM ARGAMASSA TRAÇO 1:2:8, PREPARO MANUAL, APLICADO MANUALMENTE EM FACES INTERNAS DE PAREDES, PARA AMBIENTE COM ÁREA MENOR QUE 5M2, ESPESSURA DE 20MM, COM EXECUÇÃO DE TALISCAS. AF_06/2014</t>
  </si>
  <si>
    <t>REVESTIMENTO CERÂMICO PARA PAREDES INTERNAS COM PLACAS TIPO ESMALTADA EXTRA  DE DIMENSÕES 33X45 CM APLICADAS NA ALTURA INTEIRA DAS PAREDES. AF_02/2023_PE</t>
  </si>
  <si>
    <t>FUNDO SELADOR ACRÍLICO, APLICAÇÃO MANUAL EM PAREDE, UMA DEMÃO. AF_04/2023</t>
  </si>
  <si>
    <t>APLICAÇÃO MANUAL DE PINTURA COM TINTA TEXTURIZADA ACRÍLICA EM PAREDES EXTERNAS DE CASAS, DUAS CORES. AF_06/2014</t>
  </si>
  <si>
    <t>PORTA EM ALUMÍNIO DE ABRIR TIPO VENEZIANA COM GUARNIÇÃO, FIXAÇÃO COM PARAFUSOS - FORNECIMENTO E INSTALAÇÃO. AF_12/2019</t>
  </si>
  <si>
    <t>LIMPEZA DE REVESTIMENTO CERÂMICO EM PAREDE COM PANO ÚMIDO AF_04/2019</t>
  </si>
  <si>
    <t>LIMPEZA DE REVESTIMENTO CERÂMICO EM PAREDE UTILIZANDO ÁCIDO MURIÁTICO. AF_04/2019</t>
  </si>
  <si>
    <t>LIMPEZA DE REVESTIMENTO CERÂMICO EM PAREDE UTILIZANDO DETERGENTE NEUTRO E ESCOVAÇÃO MANUAL. AF_04/2019</t>
  </si>
  <si>
    <t>M3</t>
  </si>
  <si>
    <t>M2</t>
  </si>
  <si>
    <t>M</t>
  </si>
  <si>
    <t>UN</t>
  </si>
  <si>
    <t>KG</t>
  </si>
  <si>
    <t>m³</t>
  </si>
  <si>
    <t xml:space="preserve">KG    </t>
  </si>
  <si>
    <t xml:space="preserve">M     </t>
  </si>
  <si>
    <t xml:space="preserve">UN    </t>
  </si>
  <si>
    <t>UM</t>
  </si>
  <si>
    <t xml:space="preserve">M2    </t>
  </si>
  <si>
    <t>m²</t>
  </si>
  <si>
    <t>M²</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</si>
</sst>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 #,##0.00_);_(* \(#,##0.00\);_(* &quot;-&quot;??_);_(@_)"/>
    <numFmt numFmtId="166" formatCode="_(&quot;R$&quot;* #,##0_);_(&quot;R$&quot;* \(#,##0\);_(&quot;R$&quot;* &quot;-&quot;_);_(@_)"/>
    <numFmt numFmtId="167" formatCode="_(&quot;R$&quot;* #,##0.00_);_(&quot;R$&quot;* \(#,##0.00\);_(&quot;R$&quot;* &quot;-&quot;??_);_(@_)"/>
    <numFmt numFmtId="168" formatCode="dd/mm/yy;@"/>
    <numFmt numFmtId="169" formatCode="[$-416]mmm\-yy;@"/>
    <numFmt numFmtId="170" formatCode="0.0000%"/>
    <numFmt numFmtId="171" formatCode="#\ ?/??????"/>
    <numFmt numFmtId="172" formatCode="&quot;R$&quot;\ #,##0.00"/>
    <numFmt numFmtId="173" formatCode="#,##0.000"/>
    <numFmt numFmtId="174" formatCode="[$-416]dddd\,\ d&quot; de &quot;mmmm&quot; de &quot;yyyy"/>
    <numFmt numFmtId="175" formatCode="[$-F800]dddd\,\ mmmm\ dd\,\ yyyy"/>
    <numFmt numFmtId="176" formatCode="0&quot;.&quot;"/>
    <numFmt numFmtId="177" formatCode="0.0%"/>
    <numFmt numFmtId="178" formatCode="mm/yyyy;@"/>
    <numFmt numFmtId="179" formatCode="[$-416]d\-mmm;@"/>
    <numFmt numFmtId="180" formatCode="mm/yyyy"/>
    <numFmt numFmtId="181" formatCode="_(* #,##0.000_);_(* \(#,##0.000\);_(* &quot;-&quot;??_);_(@_)"/>
    <numFmt numFmtId="182" formatCode="#,##0.00_ ;[Red]\-#,##0.00\ "/>
    <numFmt numFmtId="183" formatCode="#,##0.00_ ;\-#,##0.00\ "/>
    <numFmt numFmtId="184" formatCode="&quot;R$ &quot;#,##0.00"/>
    <numFmt numFmtId="185" formatCode="[$-416]d\-mmm\-yy;@"/>
    <numFmt numFmtId="186" formatCode="00"/>
    <numFmt numFmtId="187" formatCode="_(* #,##0.00_)"/>
    <numFmt numFmtId="188" formatCode="#,###.00"/>
    <numFmt numFmtId="189" formatCode="#,###.##"/>
    <numFmt numFmtId="190" formatCode="_(* #,##0.00_);_(* \(#,##0.00\);_(* &quot;-&quot;??_);"/>
    <numFmt numFmtId="191" formatCode="_(* #,##0.00_);_(* \(#,##0.00\);"/>
    <numFmt numFmtId="192" formatCode="_(#,##0.00_);_(\(#,##0.00\);_(&quot;-&quot;??_);_(@_)"/>
    <numFmt numFmtId="193" formatCode="_(&quot;R$ &quot;* #,##0.00_);_(&quot;R$ &quot;* \(#,##0.00\);_(&quot;R$ &quot;* &quot;-&quot;??_);_(@_)"/>
    <numFmt numFmtId="194" formatCode="dd\ &quot;de&quot;\ mmmm\ &quot;de&quot;\ yyyy"/>
    <numFmt numFmtId="195" formatCode="0.0"/>
    <numFmt numFmtId="196" formatCode="General;General;"/>
    <numFmt numFmtId="197" formatCode="dd&quot; de &quot;mmmm&quot; de &quot;yyyy"/>
    <numFmt numFmtId="198" formatCode="#,##0.0000"/>
    <numFmt numFmtId="199" formatCode="#,##0.000000"/>
    <numFmt numFmtId="200" formatCode="#,##0.0000000"/>
    <numFmt numFmtId="201" formatCode="#,##0.0000000000000"/>
    <numFmt numFmtId="202" formatCode="&quot;I_&quot;0"/>
    <numFmt numFmtId="203" formatCode="&quot;II_&quot;0"/>
    <numFmt numFmtId="204" formatCode="&quot;III_&quot;0"/>
    <numFmt numFmtId="205" formatCode="&quot;IV_&quot;0"/>
    <numFmt numFmtId="206" formatCode="&quot;V_&quot;0"/>
    <numFmt numFmtId="207" formatCode="&quot;VI_&quot;0"/>
    <numFmt numFmtId="208" formatCode="&quot;VII_&quot;0"/>
    <numFmt numFmtId="209" formatCode="&quot;VIII_&quot;0"/>
    <numFmt numFmtId="210" formatCode="&quot;IX_&quot;0"/>
    <numFmt numFmtId="211" formatCode="&quot;X_&quot;0"/>
    <numFmt numFmtId="212" formatCode="&quot;XI_&quot;0"/>
    <numFmt numFmtId="213" formatCode="&quot;XII_&quot;0"/>
    <numFmt numFmtId="214" formatCode="&quot;XIII_&quot;0"/>
    <numFmt numFmtId="215" formatCode="&quot;XIV_&quot;0"/>
    <numFmt numFmtId="216" formatCode="mmm/yyyy"/>
    <numFmt numFmtId="217" formatCode="dd\ &quot;de&quot;\ mmmm\ \!de"/>
    <numFmt numFmtId="218" formatCode="&quot;Sim&quot;;&quot;Sim&quot;;&quot;Não&quot;"/>
    <numFmt numFmtId="219" formatCode="&quot;Verdadeiro&quot;;&quot;Verdadeiro&quot;;&quot;Falso&quot;"/>
    <numFmt numFmtId="220" formatCode="&quot;Ativado&quot;;&quot;Ativado&quot;;&quot;Desativado&quot;"/>
    <numFmt numFmtId="221" formatCode="[$€-2]\ #,##0.00_);[Red]\([$€-2]\ #,##0.00\)"/>
  </numFmts>
  <fonts count="52">
    <font>
      <sz val="10"/>
      <name val="Arial"/>
      <family val="0"/>
    </font>
    <font>
      <b/>
      <sz val="10"/>
      <name val="Arial"/>
      <family val="0"/>
    </font>
    <font>
      <i/>
      <sz val="10"/>
      <name val="Arial"/>
      <family val="0"/>
    </font>
    <font>
      <b/>
      <i/>
      <sz val="10"/>
      <name val="Arial"/>
      <family val="0"/>
    </font>
    <font>
      <sz val="9"/>
      <name val="Arial"/>
      <family val="2"/>
    </font>
    <font>
      <u val="single"/>
      <sz val="13"/>
      <color indexed="12"/>
      <name val="Arial"/>
      <family val="2"/>
    </font>
    <font>
      <u val="single"/>
      <sz val="13"/>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8"/>
      <name val="Calibri"/>
      <family val="2"/>
    </font>
    <font>
      <b/>
      <sz val="9"/>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hair"/>
      <right style="thin"/>
      <top style="hair"/>
      <bottom style="hair"/>
    </border>
    <border>
      <left style="thin"/>
      <right>
        <color indexed="63"/>
      </right>
      <top style="thin"/>
      <bottom>
        <color indexed="63"/>
      </bottom>
    </border>
    <border>
      <left style="thin"/>
      <right style="hair"/>
      <top style="thin"/>
      <bottom style="thin"/>
    </border>
    <border>
      <left style="thin"/>
      <right>
        <color indexed="63"/>
      </right>
      <top style="hair"/>
      <bottom style="hair"/>
    </border>
    <border>
      <left style="hair"/>
      <right style="hair"/>
      <top style="hair"/>
      <bottom style="hair"/>
    </border>
    <border>
      <left style="hair"/>
      <right style="hair"/>
      <top style="thin"/>
      <bottom style="thin"/>
    </border>
    <border>
      <left style="hair"/>
      <right style="hair"/>
      <top>
        <color indexed="63"/>
      </top>
      <bottom>
        <color indexed="63"/>
      </bottom>
    </border>
    <border>
      <left style="thin"/>
      <right style="thin"/>
      <top style="hair"/>
      <bottom style="hair"/>
    </border>
    <border>
      <left style="thin"/>
      <right style="thin"/>
      <top style="hair"/>
      <bottom>
        <color indexed="63"/>
      </bottom>
    </border>
    <border>
      <left style="hair"/>
      <right style="thin"/>
      <top style="thin"/>
      <bottom style="thin"/>
    </border>
    <border>
      <left style="thin"/>
      <right style="thin"/>
      <top style="thin"/>
      <bottom>
        <color indexed="63"/>
      </bottom>
    </border>
    <border>
      <left style="thin"/>
      <right style="hair"/>
      <top style="hair"/>
      <bottom style="hair"/>
    </border>
    <border>
      <left style="thin"/>
      <right>
        <color indexed="63"/>
      </right>
      <top style="thin"/>
      <bottom style="thin"/>
    </border>
    <border>
      <left style="thin"/>
      <right style="thin"/>
      <top>
        <color indexed="63"/>
      </top>
      <bottom style="hair"/>
    </border>
    <border>
      <left style="hair"/>
      <right style="hair"/>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color indexed="63"/>
      </bottom>
    </border>
    <border>
      <left style="hair"/>
      <right style="hair"/>
      <top style="thin"/>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4" fillId="3" borderId="0" applyNumberFormat="0" applyBorder="0" applyAlignment="0" applyProtection="0"/>
    <xf numFmtId="0" fontId="9" fillId="4"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1" fillId="21" borderId="2" applyNumberFormat="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3" fillId="7" borderId="1" applyNumberFormat="0" applyAlignment="0" applyProtection="0"/>
    <xf numFmtId="0" fontId="7" fillId="0" borderId="0">
      <alignment/>
      <protection/>
    </xf>
    <xf numFmtId="0" fontId="18" fillId="0" borderId="0" applyNumberFormat="0" applyFill="0" applyBorder="0" applyAlignment="0" applyProtection="0"/>
    <xf numFmtId="0" fontId="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3" borderId="0" applyNumberFormat="0" applyBorder="0" applyAlignment="0" applyProtection="0"/>
    <xf numFmtId="0" fontId="13" fillId="7" borderId="1" applyNumberFormat="0" applyAlignment="0" applyProtection="0"/>
    <xf numFmtId="0" fontId="12" fillId="0" borderId="3" applyNumberFormat="0" applyFill="0" applyAlignment="0" applyProtection="0"/>
    <xf numFmtId="167"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93" fontId="0"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4"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6" fillId="20" borderId="8" applyNumberFormat="0" applyAlignment="0" applyProtection="0"/>
    <xf numFmtId="164"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65" fontId="0" fillId="0" borderId="0" applyFont="0" applyFill="0" applyBorder="0" applyAlignment="0" applyProtection="0"/>
    <xf numFmtId="0" fontId="17" fillId="0" borderId="0" applyNumberFormat="0" applyFill="0" applyBorder="0" applyAlignment="0" applyProtection="0"/>
  </cellStyleXfs>
  <cellXfs count="400">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Alignment="1">
      <alignment/>
    </xf>
    <xf numFmtId="0" fontId="24" fillId="0" borderId="0" xfId="0" applyFont="1" applyAlignment="1">
      <alignment/>
    </xf>
    <xf numFmtId="0" fontId="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1" fillId="24" borderId="10" xfId="0" applyNumberFormat="1" applyFont="1" applyFill="1" applyBorder="1" applyAlignment="1" applyProtection="1">
      <alignment horizontal="center" vertical="center"/>
      <protection/>
    </xf>
    <xf numFmtId="165" fontId="1" fillId="24" borderId="10" xfId="106" applyNumberFormat="1" applyFont="1" applyFill="1" applyBorder="1" applyAlignment="1" applyProtection="1">
      <alignment horizontal="center" vertical="center"/>
      <protection/>
    </xf>
    <xf numFmtId="10" fontId="1" fillId="24" borderId="10" xfId="94" applyNumberFormat="1" applyFont="1" applyFill="1" applyBorder="1" applyAlignment="1" applyProtection="1">
      <alignment horizontal="center" vertical="center"/>
      <protection/>
    </xf>
    <xf numFmtId="0" fontId="26"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165" fontId="0" fillId="0" borderId="0" xfId="106" applyFont="1" applyAlignment="1">
      <alignment/>
    </xf>
    <xf numFmtId="0" fontId="29" fillId="0" borderId="0" xfId="0" applyFont="1" applyAlignment="1">
      <alignment vertical="center"/>
    </xf>
    <xf numFmtId="0" fontId="0"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0" fillId="0" borderId="0" xfId="0" applyFont="1" applyBorder="1" applyAlignment="1">
      <alignment/>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1" fillId="0" borderId="11" xfId="90" applyFont="1" applyBorder="1" applyAlignment="1" applyProtection="1">
      <alignment horizontal="left" vertical="top"/>
      <protection/>
    </xf>
    <xf numFmtId="0" fontId="1" fillId="0" borderId="0" xfId="90" applyFont="1" applyBorder="1" applyAlignment="1" applyProtection="1">
      <alignment horizontal="left" vertical="top"/>
      <protection/>
    </xf>
    <xf numFmtId="0" fontId="1" fillId="0" borderId="12" xfId="90" applyFont="1" applyBorder="1" applyAlignment="1" applyProtection="1">
      <alignment horizontal="left" vertical="top"/>
      <protection/>
    </xf>
    <xf numFmtId="10" fontId="0" fillId="0" borderId="0" xfId="94" applyNumberFormat="1" applyFont="1" applyBorder="1" applyAlignment="1" applyProtection="1">
      <alignment horizontal="left"/>
      <protection/>
    </xf>
    <xf numFmtId="0" fontId="0" fillId="0" borderId="0" xfId="0" applyAlignment="1" applyProtection="1">
      <alignment horizontal="left" indent="2"/>
      <protection/>
    </xf>
    <xf numFmtId="14" fontId="30" fillId="0" borderId="0" xfId="0" applyNumberFormat="1" applyFont="1" applyFill="1" applyBorder="1" applyAlignment="1" applyProtection="1">
      <alignment vertical="top" wrapText="1"/>
      <protection/>
    </xf>
    <xf numFmtId="0" fontId="31" fillId="0" borderId="0" xfId="0" applyFont="1" applyFill="1" applyAlignment="1" applyProtection="1">
      <alignment horizontal="center"/>
      <protection/>
    </xf>
    <xf numFmtId="0" fontId="31" fillId="0" borderId="0" xfId="0" applyFont="1" applyFill="1" applyAlignment="1" applyProtection="1">
      <alignment/>
      <protection/>
    </xf>
    <xf numFmtId="0" fontId="25" fillId="0" borderId="0" xfId="0" applyFont="1" applyAlignment="1">
      <alignment horizontal="left"/>
    </xf>
    <xf numFmtId="168" fontId="0" fillId="0" borderId="0" xfId="106" applyNumberFormat="1" applyFont="1" applyFill="1" applyBorder="1" applyAlignment="1" applyProtection="1">
      <alignment/>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1" fillId="0" borderId="0" xfId="0" applyFont="1" applyFill="1" applyBorder="1" applyAlignment="1" applyProtection="1">
      <alignment wrapText="1"/>
      <protection hidden="1"/>
    </xf>
    <xf numFmtId="0" fontId="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4"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0" fillId="0" borderId="0" xfId="89" applyFont="1" applyProtection="1">
      <alignment/>
      <protection/>
    </xf>
    <xf numFmtId="0" fontId="1" fillId="0" borderId="0" xfId="89" applyFont="1" applyAlignment="1" applyProtection="1">
      <alignment horizontal="center"/>
      <protection/>
    </xf>
    <xf numFmtId="0" fontId="1" fillId="0" borderId="14" xfId="89" applyFont="1" applyBorder="1" applyAlignment="1" applyProtection="1">
      <alignment horizontal="center"/>
      <protection/>
    </xf>
    <xf numFmtId="10" fontId="33" fillId="0" borderId="14" xfId="89" applyNumberFormat="1" applyFont="1" applyFill="1" applyBorder="1" applyAlignment="1" applyProtection="1">
      <alignment horizontal="center"/>
      <protection/>
    </xf>
    <xf numFmtId="0" fontId="25" fillId="0" borderId="0" xfId="89" applyFont="1" applyAlignment="1" applyProtection="1">
      <alignment horizontal="center"/>
      <protection/>
    </xf>
    <xf numFmtId="0" fontId="34" fillId="0" borderId="0" xfId="89" applyFont="1" applyAlignment="1" applyProtection="1">
      <alignment/>
      <protection/>
    </xf>
    <xf numFmtId="0" fontId="1" fillId="0" borderId="0" xfId="89" applyFont="1" applyProtection="1">
      <alignment/>
      <protection/>
    </xf>
    <xf numFmtId="0" fontId="1" fillId="0" borderId="14" xfId="89" applyFont="1" applyFill="1" applyBorder="1" applyAlignment="1" applyProtection="1">
      <alignment horizontal="center" vertical="center" wrapText="1"/>
      <protection/>
    </xf>
    <xf numFmtId="0" fontId="32" fillId="0" borderId="14" xfId="89" applyFont="1" applyBorder="1" applyAlignment="1" applyProtection="1">
      <alignment horizontal="center" vertical="center"/>
      <protection/>
    </xf>
    <xf numFmtId="10" fontId="32" fillId="22" borderId="14" xfId="89" applyNumberFormat="1" applyFont="1" applyFill="1" applyBorder="1" applyAlignment="1" applyProtection="1">
      <alignment horizontal="center" vertical="center"/>
      <protection locked="0"/>
    </xf>
    <xf numFmtId="4" fontId="28" fillId="0" borderId="14" xfId="89" applyNumberFormat="1" applyFont="1" applyFill="1" applyBorder="1" applyAlignment="1" applyProtection="1">
      <alignment horizontal="center" vertical="center"/>
      <protection/>
    </xf>
    <xf numFmtId="10" fontId="32" fillId="0" borderId="14" xfId="89" applyNumberFormat="1" applyFont="1" applyFill="1" applyBorder="1" applyAlignment="1" applyProtection="1">
      <alignment horizontal="center" vertical="center"/>
      <protection/>
    </xf>
    <xf numFmtId="10" fontId="32" fillId="0" borderId="14" xfId="89" applyNumberFormat="1" applyFont="1" applyFill="1" applyBorder="1" applyAlignment="1" applyProtection="1">
      <alignment horizontal="center" vertical="center" wrapText="1"/>
      <protection/>
    </xf>
    <xf numFmtId="0" fontId="32" fillId="0" borderId="14" xfId="89" applyFont="1" applyFill="1" applyBorder="1" applyAlignment="1" applyProtection="1">
      <alignment horizontal="center" vertical="center" wrapText="1"/>
      <protection/>
    </xf>
    <xf numFmtId="0" fontId="40" fillId="0" borderId="0" xfId="89" applyFont="1" applyFill="1" applyBorder="1" applyAlignment="1" applyProtection="1">
      <alignment horizontal="center" vertical="center" wrapText="1"/>
      <protection/>
    </xf>
    <xf numFmtId="10" fontId="40" fillId="0" borderId="0" xfId="89" applyNumberFormat="1" applyFont="1" applyFill="1" applyBorder="1" applyAlignment="1" applyProtection="1">
      <alignment horizontal="center" vertical="center"/>
      <protection/>
    </xf>
    <xf numFmtId="194" fontId="0" fillId="0" borderId="0" xfId="89" applyNumberFormat="1" applyFont="1" applyAlignment="1" applyProtection="1">
      <alignment/>
      <protection/>
    </xf>
    <xf numFmtId="0" fontId="32" fillId="0" borderId="0" xfId="89" applyFont="1" applyBorder="1" applyProtection="1">
      <alignment/>
      <protection/>
    </xf>
    <xf numFmtId="0" fontId="0" fillId="0" borderId="0" xfId="89" applyFont="1" applyBorder="1" applyProtection="1">
      <alignment/>
      <protection/>
    </xf>
    <xf numFmtId="0" fontId="32" fillId="0" borderId="0" xfId="89" applyFont="1" applyProtection="1">
      <alignment/>
      <protection/>
    </xf>
    <xf numFmtId="0" fontId="32" fillId="0" borderId="0" xfId="89" applyFont="1" applyAlignment="1" applyProtection="1">
      <alignment vertical="top"/>
      <protection/>
    </xf>
    <xf numFmtId="0" fontId="36" fillId="0" borderId="0" xfId="89" applyFont="1" applyBorder="1" applyAlignment="1" applyProtection="1">
      <alignment horizontal="center" vertical="top"/>
      <protection/>
    </xf>
    <xf numFmtId="0" fontId="1" fillId="0" borderId="14" xfId="0" applyFont="1" applyBorder="1" applyAlignment="1" applyProtection="1">
      <alignment horizontal="center" vertical="center" wrapText="1"/>
      <protection/>
    </xf>
    <xf numFmtId="0" fontId="1" fillId="0" borderId="14" xfId="0" applyFont="1" applyBorder="1" applyAlignment="1" applyProtection="1">
      <alignment horizontal="center" vertical="center"/>
      <protection/>
    </xf>
    <xf numFmtId="0" fontId="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0" xfId="0" applyFont="1" applyFill="1" applyAlignment="1">
      <alignment/>
    </xf>
    <xf numFmtId="0" fontId="38" fillId="0" borderId="0" xfId="0" applyFont="1" applyFill="1" applyAlignment="1">
      <alignment vertical="center"/>
    </xf>
    <xf numFmtId="0" fontId="0" fillId="0" borderId="0" xfId="0" applyFont="1" applyFill="1" applyAlignment="1">
      <alignment horizontal="center" vertical="top"/>
    </xf>
    <xf numFmtId="0" fontId="0" fillId="0" borderId="0" xfId="0" applyFont="1" applyAlignment="1" applyProtection="1">
      <alignment/>
      <protection/>
    </xf>
    <xf numFmtId="0" fontId="0" fillId="0" borderId="17" xfId="0" applyFont="1" applyBorder="1" applyAlignment="1">
      <alignment/>
    </xf>
    <xf numFmtId="0" fontId="32" fillId="0" borderId="0" xfId="0" applyFont="1" applyAlignment="1">
      <alignment/>
    </xf>
    <xf numFmtId="0" fontId="25" fillId="0" borderId="0" xfId="0" applyFont="1" applyAlignment="1">
      <alignment horizontal="right"/>
    </xf>
    <xf numFmtId="0" fontId="1" fillId="22" borderId="0" xfId="0" applyFont="1" applyFill="1" applyAlignment="1" applyProtection="1">
      <alignment/>
      <protection locked="0"/>
    </xf>
    <xf numFmtId="0" fontId="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applyAlignment="1">
      <alignment/>
    </xf>
    <xf numFmtId="0" fontId="32"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1" fillId="0" borderId="11" xfId="90" applyFont="1" applyBorder="1" applyAlignment="1" applyProtection="1">
      <alignment vertical="top"/>
      <protection/>
    </xf>
    <xf numFmtId="0" fontId="1" fillId="0" borderId="15" xfId="90" applyFont="1" applyBorder="1" applyAlignment="1" applyProtection="1">
      <alignment horizontal="center" vertical="top"/>
      <protection/>
    </xf>
    <xf numFmtId="0" fontId="0" fillId="0" borderId="0" xfId="0" applyFont="1" applyAlignment="1" applyProtection="1">
      <alignment/>
      <protection/>
    </xf>
    <xf numFmtId="10" fontId="0" fillId="22" borderId="16" xfId="94" applyNumberFormat="1" applyFont="1" applyFill="1" applyBorder="1" applyAlignment="1" applyProtection="1">
      <alignment horizontal="center" vertical="top" wrapText="1"/>
      <protection/>
    </xf>
    <xf numFmtId="10" fontId="0" fillId="0" borderId="16" xfId="94" applyNumberFormat="1" applyFont="1" applyFill="1" applyBorder="1" applyAlignment="1" applyProtection="1">
      <alignment horizontal="center" vertical="top" wrapText="1"/>
      <protection/>
    </xf>
    <xf numFmtId="165" fontId="1" fillId="24" borderId="19" xfId="106" applyNumberFormat="1" applyFont="1" applyFill="1" applyBorder="1" applyAlignment="1" applyProtection="1">
      <alignment horizontal="center" vertical="center" shrinkToFit="1"/>
      <protection/>
    </xf>
    <xf numFmtId="165" fontId="0" fillId="0" borderId="20" xfId="106" applyNumberFormat="1" applyFont="1" applyFill="1" applyBorder="1" applyAlignment="1">
      <alignment horizontal="center" vertical="center" shrinkToFit="1"/>
    </xf>
    <xf numFmtId="0" fontId="25" fillId="0" borderId="0" xfId="0" applyFont="1" applyAlignment="1">
      <alignment horizontal="left" vertical="center"/>
    </xf>
    <xf numFmtId="0" fontId="0" fillId="0" borderId="0" xfId="89" applyFont="1" applyBorder="1" applyAlignment="1" applyProtection="1">
      <alignment horizontal="center" vertical="top"/>
      <protection/>
    </xf>
    <xf numFmtId="0" fontId="39" fillId="0" borderId="0" xfId="90" applyFont="1" applyBorder="1" applyAlignment="1" applyProtection="1">
      <alignment horizontal="left" vertical="top"/>
      <protection/>
    </xf>
    <xf numFmtId="0" fontId="37"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4"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8" fillId="0" borderId="14" xfId="89" applyNumberFormat="1" applyFont="1" applyFill="1" applyBorder="1" applyAlignment="1" applyProtection="1">
      <alignment horizontal="center" vertical="center" wrapText="1"/>
      <protection/>
    </xf>
    <xf numFmtId="0" fontId="46" fillId="0" borderId="0" xfId="89" applyFont="1" applyAlignment="1" applyProtection="1">
      <alignment wrapText="1"/>
      <protection/>
    </xf>
    <xf numFmtId="0" fontId="47" fillId="0" borderId="0" xfId="89" applyFont="1" applyAlignment="1" applyProtection="1">
      <alignment vertical="top" wrapText="1"/>
      <protection/>
    </xf>
    <xf numFmtId="0" fontId="44" fillId="0" borderId="14" xfId="89" applyFont="1" applyBorder="1" applyAlignment="1" applyProtection="1">
      <alignment horizontal="center" vertical="center"/>
      <protection/>
    </xf>
    <xf numFmtId="4" fontId="28" fillId="0" borderId="0" xfId="89" applyNumberFormat="1" applyFont="1" applyFill="1" applyBorder="1" applyAlignment="1" applyProtection="1">
      <alignment horizontal="center" vertical="center" wrapText="1"/>
      <protection/>
    </xf>
    <xf numFmtId="0" fontId="0" fillId="0" borderId="0" xfId="89" applyFont="1" applyProtection="1">
      <alignment/>
      <protection locked="0"/>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center"/>
      <protection/>
    </xf>
    <xf numFmtId="0" fontId="1" fillId="0" borderId="22"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0" xfId="0" applyFont="1" applyFill="1" applyBorder="1" applyAlignment="1">
      <alignment/>
    </xf>
    <xf numFmtId="0" fontId="26" fillId="0" borderId="16" xfId="0" applyFont="1" applyBorder="1" applyAlignment="1">
      <alignment horizontal="center"/>
    </xf>
    <xf numFmtId="0" fontId="4" fillId="22" borderId="23" xfId="0" applyNumberFormat="1" applyFont="1" applyFill="1" applyBorder="1" applyAlignment="1" applyProtection="1">
      <alignment vertical="center" wrapText="1"/>
      <protection locked="0"/>
    </xf>
    <xf numFmtId="165"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1" fillId="0" borderId="15" xfId="0" applyFont="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0" fontId="29" fillId="0" borderId="26" xfId="0" applyFont="1" applyBorder="1" applyAlignment="1">
      <alignment horizontal="center" vertical="center"/>
    </xf>
    <xf numFmtId="0" fontId="4"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1" fillId="24" borderId="10" xfId="106" applyNumberFormat="1" applyFont="1" applyFill="1" applyBorder="1" applyAlignment="1" applyProtection="1">
      <alignment horizontal="center" vertical="center"/>
      <protection/>
    </xf>
    <xf numFmtId="0" fontId="1" fillId="0" borderId="11" xfId="90" applyFont="1" applyFill="1" applyBorder="1" applyAlignment="1" applyProtection="1">
      <alignment horizontal="left" vertical="top"/>
      <protection/>
    </xf>
    <xf numFmtId="0" fontId="1" fillId="0" borderId="11" xfId="90" applyFont="1" applyFill="1" applyBorder="1" applyAlignment="1" applyProtection="1">
      <alignment vertical="top"/>
      <protection/>
    </xf>
    <xf numFmtId="0" fontId="1" fillId="0" borderId="15" xfId="90"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4" applyNumberFormat="1" applyFont="1" applyFill="1" applyBorder="1" applyAlignment="1" applyProtection="1">
      <alignment horizontal="center" vertical="top" wrapText="1"/>
      <protection/>
    </xf>
    <xf numFmtId="10" fontId="0" fillId="0" borderId="18" xfId="94" applyNumberFormat="1" applyFont="1" applyFill="1" applyBorder="1" applyAlignment="1" applyProtection="1">
      <alignment horizontal="left" vertical="top" wrapText="1"/>
      <protection/>
    </xf>
    <xf numFmtId="0" fontId="1" fillId="0" borderId="17" xfId="0" applyFont="1" applyBorder="1" applyAlignment="1">
      <alignment/>
    </xf>
    <xf numFmtId="0" fontId="1" fillId="0" borderId="17" xfId="0" applyFont="1" applyBorder="1" applyAlignment="1">
      <alignment horizontal="left"/>
    </xf>
    <xf numFmtId="0" fontId="0" fillId="0" borderId="17" xfId="0" applyFont="1" applyBorder="1" applyAlignment="1">
      <alignment horizontal="left"/>
    </xf>
    <xf numFmtId="0" fontId="1" fillId="0" borderId="17" xfId="89" applyFont="1" applyBorder="1" applyAlignment="1" applyProtection="1">
      <alignment horizontal="left"/>
      <protection/>
    </xf>
    <xf numFmtId="0" fontId="0" fillId="0" borderId="17" xfId="89" applyFont="1" applyBorder="1" applyProtection="1">
      <alignment/>
      <protection/>
    </xf>
    <xf numFmtId="0" fontId="29" fillId="0" borderId="0" xfId="0" applyFont="1" applyAlignment="1">
      <alignment horizontal="center" vertical="center"/>
    </xf>
    <xf numFmtId="0" fontId="39" fillId="0" borderId="29" xfId="0" applyFont="1" applyBorder="1" applyAlignment="1" applyProtection="1">
      <alignment horizontal="center" vertical="center" wrapText="1"/>
      <protection/>
    </xf>
    <xf numFmtId="0" fontId="31" fillId="0" borderId="0" xfId="0" applyFont="1" applyAlignment="1" applyProtection="1">
      <alignment horizontal="center" vertical="center" wrapText="1"/>
      <protection/>
    </xf>
    <xf numFmtId="0" fontId="31" fillId="0" borderId="0" xfId="0" applyFont="1" applyAlignment="1" applyProtection="1">
      <alignment horizontal="center"/>
      <protection/>
    </xf>
    <xf numFmtId="4" fontId="28" fillId="25" borderId="13" xfId="106" applyNumberFormat="1" applyFont="1" applyFill="1" applyBorder="1" applyAlignment="1" applyProtection="1">
      <alignment horizontal="center" vertical="center" shrinkToFit="1"/>
      <protection/>
    </xf>
    <xf numFmtId="10" fontId="28" fillId="21" borderId="0" xfId="94" applyNumberFormat="1" applyFont="1" applyFill="1" applyBorder="1" applyAlignment="1" applyProtection="1">
      <alignment horizontal="center" vertical="center" shrinkToFit="1"/>
      <protection/>
    </xf>
    <xf numFmtId="4" fontId="28" fillId="21" borderId="13" xfId="106" applyNumberFormat="1" applyFont="1" applyFill="1" applyBorder="1" applyAlignment="1" applyProtection="1">
      <alignment horizontal="center" vertical="center" shrinkToFit="1"/>
      <protection/>
    </xf>
    <xf numFmtId="0" fontId="39" fillId="0" borderId="30" xfId="0" applyFont="1" applyBorder="1" applyAlignment="1" applyProtection="1">
      <alignment horizontal="center" vertical="center" wrapText="1"/>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protection/>
    </xf>
    <xf numFmtId="0" fontId="1" fillId="25" borderId="18" xfId="0" applyFont="1" applyFill="1" applyBorder="1" applyAlignment="1" applyProtection="1">
      <alignment horizontal="center" vertical="center"/>
      <protection/>
    </xf>
    <xf numFmtId="0" fontId="1" fillId="21" borderId="11" xfId="0" applyFont="1" applyFill="1" applyBorder="1" applyAlignment="1" applyProtection="1">
      <alignment horizontal="center" vertical="center"/>
      <protection/>
    </xf>
    <xf numFmtId="0" fontId="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9" fillId="0" borderId="0" xfId="0" applyFont="1" applyAlignment="1" applyProtection="1">
      <alignment horizontal="center" wrapText="1"/>
      <protection/>
    </xf>
    <xf numFmtId="0" fontId="48" fillId="0" borderId="0" xfId="0" applyFont="1" applyFill="1" applyAlignment="1" applyProtection="1">
      <alignment/>
      <protection/>
    </xf>
    <xf numFmtId="0" fontId="0" fillId="0" borderId="31" xfId="0" applyNumberFormat="1" applyFont="1" applyFill="1" applyBorder="1" applyAlignment="1">
      <alignment vertical="center" wrapText="1" shrinkToFit="1"/>
    </xf>
    <xf numFmtId="0" fontId="41" fillId="24" borderId="32" xfId="0" applyNumberFormat="1" applyFont="1" applyFill="1" applyBorder="1" applyAlignment="1" applyProtection="1">
      <alignment horizontal="center" vertical="center" wrapText="1"/>
      <protection/>
    </xf>
    <xf numFmtId="0" fontId="4" fillId="21" borderId="23" xfId="0" applyNumberFormat="1" applyFont="1" applyFill="1" applyBorder="1" applyAlignment="1" applyProtection="1">
      <alignment vertical="center" wrapText="1"/>
      <protection/>
    </xf>
    <xf numFmtId="165"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1" fillId="25" borderId="11" xfId="0" applyFont="1" applyFill="1" applyBorder="1" applyAlignment="1" applyProtection="1">
      <alignment horizontal="center" vertical="center"/>
      <protection/>
    </xf>
    <xf numFmtId="10" fontId="32" fillId="0" borderId="0" xfId="94" applyNumberFormat="1" applyFont="1" applyFill="1" applyBorder="1" applyAlignment="1" applyProtection="1">
      <alignment horizontal="center" vertical="center"/>
      <protection/>
    </xf>
    <xf numFmtId="4" fontId="32" fillId="0" borderId="0" xfId="94"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27" fillId="0" borderId="0" xfId="0" applyFont="1" applyFill="1" applyAlignment="1" applyProtection="1">
      <alignment vertical="center"/>
      <protection/>
    </xf>
    <xf numFmtId="0" fontId="25" fillId="0" borderId="0" xfId="0" applyFont="1" applyAlignment="1" applyProtection="1">
      <alignment horizontal="right" vertical="center"/>
      <protection/>
    </xf>
    <xf numFmtId="0" fontId="25"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7"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24" fillId="0" borderId="0" xfId="0" applyFont="1" applyAlignment="1" applyProtection="1">
      <alignment wrapText="1"/>
      <protection/>
    </xf>
    <xf numFmtId="0" fontId="0" fillId="0" borderId="0" xfId="0" applyNumberFormat="1" applyAlignment="1" applyProtection="1">
      <alignment/>
      <protection/>
    </xf>
    <xf numFmtId="0" fontId="1" fillId="0" borderId="0" xfId="0" applyFont="1" applyFill="1" applyBorder="1" applyAlignment="1" applyProtection="1">
      <alignment horizontal="center" wrapText="1"/>
      <protection/>
    </xf>
    <xf numFmtId="0" fontId="28" fillId="0" borderId="15"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vertical="top"/>
      <protection/>
    </xf>
    <xf numFmtId="0" fontId="1" fillId="0" borderId="0" xfId="0" applyFont="1" applyBorder="1" applyAlignment="1" applyProtection="1">
      <alignment vertical="center"/>
      <protection/>
    </xf>
    <xf numFmtId="4" fontId="4" fillId="0" borderId="0" xfId="0" applyNumberFormat="1" applyFont="1" applyAlignment="1" applyProtection="1">
      <alignment/>
      <protection/>
    </xf>
    <xf numFmtId="0" fontId="1" fillId="0" borderId="17" xfId="0"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Border="1" applyAlignment="1" applyProtection="1">
      <alignment horizontal="center"/>
      <protection/>
    </xf>
    <xf numFmtId="0" fontId="1" fillId="0" borderId="11" xfId="0" applyFont="1" applyFill="1" applyBorder="1" applyAlignment="1" applyProtection="1">
      <alignment wrapText="1"/>
      <protection/>
    </xf>
    <xf numFmtId="0" fontId="0" fillId="0" borderId="11" xfId="0" applyBorder="1" applyAlignment="1" applyProtection="1">
      <alignment/>
      <protection/>
    </xf>
    <xf numFmtId="0" fontId="0" fillId="0" borderId="11" xfId="0" applyBorder="1" applyAlignment="1" applyProtection="1" quotePrefix="1">
      <alignment/>
      <protection/>
    </xf>
    <xf numFmtId="10" fontId="32" fillId="0" borderId="11" xfId="94" applyNumberFormat="1" applyFont="1" applyFill="1" applyBorder="1" applyAlignment="1" applyProtection="1">
      <alignment horizontal="center" vertical="center"/>
      <protection/>
    </xf>
    <xf numFmtId="4" fontId="32" fillId="0" borderId="11" xfId="94" applyNumberFormat="1" applyFont="1" applyFill="1" applyBorder="1" applyAlignment="1" applyProtection="1">
      <alignment horizontal="center" vertical="center"/>
      <protection/>
    </xf>
    <xf numFmtId="4" fontId="28" fillId="25" borderId="18" xfId="106" applyNumberFormat="1" applyFont="1" applyFill="1" applyBorder="1" applyAlignment="1" applyProtection="1">
      <alignment horizontal="center" vertical="center" shrinkToFit="1"/>
      <protection/>
    </xf>
    <xf numFmtId="10" fontId="28" fillId="21" borderId="11" xfId="94" applyNumberFormat="1" applyFont="1" applyFill="1" applyBorder="1" applyAlignment="1" applyProtection="1">
      <alignment horizontal="center" vertical="center" shrinkToFit="1"/>
      <protection/>
    </xf>
    <xf numFmtId="4" fontId="28"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8" fillId="25" borderId="11" xfId="94" applyNumberFormat="1" applyFont="1" applyFill="1" applyBorder="1" applyAlignment="1" applyProtection="1">
      <alignment horizontal="center" vertical="center" shrinkToFit="1"/>
      <protection/>
    </xf>
    <xf numFmtId="10" fontId="28" fillId="25" borderId="0" xfId="94" applyNumberFormat="1" applyFont="1" applyFill="1" applyBorder="1" applyAlignment="1" applyProtection="1">
      <alignment horizontal="center" vertical="center" shrinkToFit="1"/>
      <protection/>
    </xf>
    <xf numFmtId="4" fontId="32" fillId="0" borderId="12" xfId="94" applyNumberFormat="1" applyFont="1" applyFill="1" applyBorder="1" applyAlignment="1" applyProtection="1">
      <alignment horizontal="center" vertical="center"/>
      <protection/>
    </xf>
    <xf numFmtId="10" fontId="0" fillId="0" borderId="14" xfId="0" applyNumberFormat="1" applyBorder="1" applyAlignment="1" applyProtection="1">
      <alignment/>
      <protection/>
    </xf>
    <xf numFmtId="49" fontId="0" fillId="22" borderId="24"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xf>
    <xf numFmtId="0" fontId="0" fillId="0" borderId="14" xfId="0" applyFont="1" applyBorder="1" applyAlignment="1">
      <alignment/>
    </xf>
    <xf numFmtId="0" fontId="0" fillId="0" borderId="0" xfId="0" applyAlignment="1" quotePrefix="1">
      <alignment/>
    </xf>
    <xf numFmtId="0" fontId="32" fillId="0" borderId="0" xfId="0" applyFont="1" applyFill="1" applyBorder="1" applyAlignment="1" applyProtection="1">
      <alignment horizontal="left" wrapText="1"/>
      <protection locked="0"/>
    </xf>
    <xf numFmtId="0" fontId="0" fillId="0" borderId="14" xfId="0" applyFont="1" applyBorder="1" applyAlignment="1" applyProtection="1">
      <alignment/>
      <protection locked="0"/>
    </xf>
    <xf numFmtId="165" fontId="0" fillId="22" borderId="34" xfId="106" applyFont="1" applyFill="1" applyBorder="1" applyAlignment="1" applyProtection="1">
      <alignment vertical="center" shrinkToFit="1"/>
      <protection locked="0"/>
    </xf>
    <xf numFmtId="0" fontId="1" fillId="24" borderId="32" xfId="0" applyNumberFormat="1" applyFont="1" applyFill="1" applyBorder="1" applyAlignment="1" applyProtection="1">
      <alignment horizontal="center" vertical="center" shrinkToFit="1"/>
      <protection/>
    </xf>
    <xf numFmtId="0" fontId="1" fillId="24" borderId="25" xfId="0" applyNumberFormat="1"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wrapText="1" shrinkToFit="1"/>
      <protection/>
    </xf>
    <xf numFmtId="14" fontId="28"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32" fillId="22" borderId="35" xfId="94" applyNumberFormat="1" applyFont="1" applyFill="1" applyBorder="1" applyAlignment="1" applyProtection="1">
      <alignment horizontal="center" vertical="center"/>
      <protection hidden="1" locked="0"/>
    </xf>
    <xf numFmtId="0" fontId="28"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wrapText="1"/>
      <protection/>
    </xf>
    <xf numFmtId="0" fontId="0" fillId="20" borderId="0" xfId="0" applyFont="1" applyFill="1" applyAlignment="1">
      <alignment/>
    </xf>
    <xf numFmtId="165" fontId="0" fillId="22" borderId="24" xfId="106" applyNumberFormat="1" applyFont="1" applyFill="1" applyBorder="1" applyAlignment="1" applyProtection="1">
      <alignment vertical="center" shrinkToFit="1"/>
      <protection/>
    </xf>
    <xf numFmtId="10" fontId="32" fillId="22" borderId="36" xfId="94" applyNumberFormat="1" applyFont="1" applyFill="1" applyBorder="1" applyAlignment="1" applyProtection="1">
      <alignment horizontal="center" vertical="center"/>
      <protection locked="0"/>
    </xf>
    <xf numFmtId="10" fontId="32" fillId="22" borderId="35" xfId="94" applyNumberFormat="1" applyFont="1" applyFill="1" applyBorder="1" applyAlignment="1" applyProtection="1">
      <alignment horizontal="center" vertical="center"/>
      <protection locked="0"/>
    </xf>
    <xf numFmtId="10" fontId="32" fillId="22" borderId="37" xfId="94" applyNumberFormat="1" applyFont="1" applyFill="1" applyBorder="1" applyAlignment="1" applyProtection="1">
      <alignment horizontal="center" vertical="center"/>
      <protection locked="0"/>
    </xf>
    <xf numFmtId="165"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4" applyNumberFormat="1" applyFont="1" applyFill="1" applyBorder="1" applyAlignment="1" applyProtection="1">
      <alignment horizontal="center" vertical="center" wrapText="1"/>
      <protection locked="0"/>
    </xf>
    <xf numFmtId="0" fontId="1" fillId="0" borderId="11" xfId="90" applyFont="1" applyFill="1" applyBorder="1" applyAlignment="1" applyProtection="1">
      <alignment horizontal="left" vertical="top"/>
      <protection/>
    </xf>
    <xf numFmtId="0" fontId="1" fillId="0" borderId="0" xfId="90" applyFont="1" applyFill="1" applyBorder="1" applyAlignment="1" applyProtection="1">
      <alignment horizontal="left" vertical="top"/>
      <protection/>
    </xf>
    <xf numFmtId="0" fontId="1" fillId="0" borderId="12" xfId="90" applyFont="1" applyFill="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1" fillId="0" borderId="11" xfId="90" applyFont="1" applyBorder="1" applyAlignment="1" applyProtection="1">
      <alignment horizontal="left" vertical="top"/>
      <protection/>
    </xf>
    <xf numFmtId="0" fontId="1" fillId="0" borderId="12" xfId="90" applyFont="1" applyBorder="1" applyAlignment="1" applyProtection="1">
      <alignment horizontal="left" vertical="top"/>
      <protection/>
    </xf>
    <xf numFmtId="0" fontId="0" fillId="22" borderId="18"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0" fontId="49" fillId="27" borderId="0" xfId="0" applyFont="1" applyFill="1" applyBorder="1" applyAlignment="1" applyProtection="1">
      <alignment horizontal="left" vertical="top" wrapText="1" indent="2"/>
      <protection/>
    </xf>
    <xf numFmtId="0" fontId="49" fillId="27" borderId="0" xfId="0" applyFont="1" applyFill="1" applyBorder="1" applyAlignment="1" applyProtection="1">
      <alignment horizontal="left" vertical="top" wrapText="1" indent="2"/>
      <protection/>
    </xf>
    <xf numFmtId="0" fontId="49" fillId="27" borderId="0" xfId="0" applyFont="1" applyFill="1" applyAlignment="1" applyProtection="1">
      <alignment horizontal="left" vertical="top" indent="2"/>
      <protection/>
    </xf>
    <xf numFmtId="0" fontId="28" fillId="0" borderId="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1" fillId="0" borderId="39"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1" fillId="0" borderId="0" xfId="90" applyFont="1" applyBorder="1" applyAlignment="1" applyProtection="1">
      <alignment horizontal="left" vertical="top"/>
      <protection/>
    </xf>
    <xf numFmtId="49" fontId="0" fillId="22" borderId="0" xfId="0" applyNumberFormat="1" applyFont="1" applyFill="1" applyBorder="1" applyAlignment="1" applyProtection="1">
      <alignment horizontal="left"/>
      <protection locked="0"/>
    </xf>
    <xf numFmtId="49" fontId="0" fillId="22" borderId="0" xfId="0" applyNumberForma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169" fontId="0" fillId="22" borderId="18" xfId="0" applyNumberFormat="1" applyFill="1" applyBorder="1" applyAlignment="1" applyProtection="1">
      <alignment horizontal="center" vertical="top" wrapText="1"/>
      <protection locked="0"/>
    </xf>
    <xf numFmtId="169" fontId="0" fillId="22" borderId="38" xfId="0" applyNumberFormat="1" applyFill="1" applyBorder="1" applyAlignment="1" applyProtection="1">
      <alignment horizontal="center" vertical="top" wrapText="1"/>
      <protection locked="0"/>
    </xf>
    <xf numFmtId="0" fontId="39" fillId="0" borderId="11" xfId="90" applyFont="1" applyBorder="1" applyAlignment="1" applyProtection="1">
      <alignment horizontal="left" vertical="top"/>
      <protection/>
    </xf>
    <xf numFmtId="0" fontId="39" fillId="0" borderId="12" xfId="90" applyFont="1" applyBorder="1" applyAlignment="1" applyProtection="1">
      <alignment horizontal="left" vertical="top"/>
      <protection/>
    </xf>
    <xf numFmtId="0" fontId="25" fillId="20" borderId="17" xfId="0" applyFont="1" applyFill="1" applyBorder="1" applyAlignment="1" applyProtection="1">
      <alignment horizontal="center" vertical="center" wrapText="1"/>
      <protection/>
    </xf>
    <xf numFmtId="0" fontId="25" fillId="20" borderId="40" xfId="0" applyFont="1" applyFill="1" applyBorder="1" applyAlignment="1" applyProtection="1">
      <alignment horizontal="center" vertical="center" wrapText="1"/>
      <protection/>
    </xf>
    <xf numFmtId="0" fontId="25" fillId="20" borderId="13" xfId="0" applyFont="1" applyFill="1" applyBorder="1" applyAlignment="1" applyProtection="1">
      <alignment horizontal="center" vertical="center" wrapText="1"/>
      <protection/>
    </xf>
    <xf numFmtId="0" fontId="25" fillId="20" borderId="38" xfId="0" applyFont="1" applyFill="1" applyBorder="1" applyAlignment="1" applyProtection="1">
      <alignment horizontal="center" vertical="center" wrapText="1"/>
      <protection/>
    </xf>
    <xf numFmtId="14" fontId="0" fillId="22" borderId="18" xfId="94" applyNumberFormat="1" applyFont="1" applyFill="1" applyBorder="1" applyAlignment="1" applyProtection="1">
      <alignment horizontal="center" vertical="top" wrapText="1"/>
      <protection locked="0"/>
    </xf>
    <xf numFmtId="14" fontId="0" fillId="22" borderId="38" xfId="94" applyNumberFormat="1" applyFont="1" applyFill="1" applyBorder="1" applyAlignment="1" applyProtection="1">
      <alignment horizontal="center" vertical="top" wrapText="1"/>
      <protection locked="0"/>
    </xf>
    <xf numFmtId="49" fontId="0" fillId="22" borderId="18"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38" xfId="94" applyNumberFormat="1" applyFont="1" applyFill="1" applyBorder="1" applyAlignment="1" applyProtection="1">
      <alignment horizontal="left" vertical="top" wrapText="1"/>
      <protection locked="0"/>
    </xf>
    <xf numFmtId="14" fontId="0" fillId="22" borderId="38" xfId="94" applyNumberFormat="1" applyFont="1" applyFill="1" applyBorder="1" applyAlignment="1" applyProtection="1">
      <alignment horizontal="center" vertical="top" wrapText="1"/>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10" fontId="0" fillId="22" borderId="18" xfId="94" applyNumberFormat="1" applyFont="1" applyFill="1" applyBorder="1" applyAlignment="1" applyProtection="1">
      <alignment horizontal="left" vertical="top" wrapText="1"/>
      <protection locked="0"/>
    </xf>
    <xf numFmtId="10" fontId="0" fillId="22" borderId="13" xfId="94" applyNumberFormat="1" applyFont="1" applyFill="1" applyBorder="1" applyAlignment="1" applyProtection="1">
      <alignment horizontal="left" vertical="top" wrapText="1"/>
      <protection locked="0"/>
    </xf>
    <xf numFmtId="10" fontId="0" fillId="22" borderId="38" xfId="94" applyNumberFormat="1"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0" fillId="22" borderId="13" xfId="0" applyFill="1" applyBorder="1" applyAlignment="1" applyProtection="1">
      <alignment horizontal="left" vertical="top" wrapText="1"/>
      <protection locked="0"/>
    </xf>
    <xf numFmtId="0" fontId="49" fillId="27" borderId="0" xfId="0" applyFont="1" applyFill="1" applyAlignment="1" applyProtection="1">
      <alignment horizontal="left" vertical="top" indent="2"/>
      <protection/>
    </xf>
    <xf numFmtId="0" fontId="39" fillId="0" borderId="11" xfId="90" applyFont="1" applyFill="1" applyBorder="1" applyAlignment="1" applyProtection="1">
      <alignment horizontal="left" vertical="top"/>
      <protection/>
    </xf>
    <xf numFmtId="0" fontId="39" fillId="0" borderId="12" xfId="90" applyFont="1" applyFill="1" applyBorder="1" applyAlignment="1" applyProtection="1">
      <alignment horizontal="left" vertical="top"/>
      <protection/>
    </xf>
    <xf numFmtId="169" fontId="0" fillId="0" borderId="18" xfId="0" applyNumberFormat="1" applyFill="1" applyBorder="1" applyAlignment="1" applyProtection="1">
      <alignment horizontal="center" vertical="top" wrapText="1"/>
      <protection/>
    </xf>
    <xf numFmtId="169" fontId="0" fillId="0" borderId="38" xfId="0" applyNumberFormat="1" applyFill="1" applyBorder="1" applyAlignment="1" applyProtection="1">
      <alignment horizontal="center" vertical="top" wrapText="1"/>
      <protection/>
    </xf>
    <xf numFmtId="169" fontId="0" fillId="0" borderId="18" xfId="94" applyNumberFormat="1" applyFont="1" applyFill="1" applyBorder="1" applyAlignment="1" applyProtection="1">
      <alignment horizontal="left" vertical="top" wrapText="1"/>
      <protection/>
    </xf>
    <xf numFmtId="169" fontId="0" fillId="0" borderId="13" xfId="94" applyNumberFormat="1" applyFont="1"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10" fontId="0" fillId="0" borderId="18"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38"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1" fillId="0" borderId="14" xfId="89" applyFont="1" applyFill="1" applyBorder="1" applyAlignment="1" applyProtection="1">
      <alignment horizontal="center" vertical="center"/>
      <protection/>
    </xf>
    <xf numFmtId="0" fontId="37" fillId="0" borderId="14" xfId="89" applyFont="1" applyBorder="1" applyAlignment="1" applyProtection="1">
      <alignment horizontal="center" vertical="center" wrapText="1"/>
      <protection/>
    </xf>
    <xf numFmtId="196" fontId="0" fillId="0" borderId="0" xfId="89" applyNumberFormat="1" applyFont="1" applyFill="1" applyBorder="1" applyAlignment="1" applyProtection="1">
      <alignment horizontal="left"/>
      <protection/>
    </xf>
    <xf numFmtId="0" fontId="45" fillId="0" borderId="0" xfId="89" applyFont="1" applyAlignment="1" applyProtection="1">
      <alignment horizontal="left" vertical="center" indent="1"/>
      <protection/>
    </xf>
    <xf numFmtId="0" fontId="0" fillId="0" borderId="14" xfId="89" applyFont="1" applyBorder="1" applyAlignment="1" applyProtection="1">
      <alignment horizontal="left" vertical="center" wrapText="1"/>
      <protection/>
    </xf>
    <xf numFmtId="0" fontId="40" fillId="0" borderId="0" xfId="89" applyFont="1" applyBorder="1" applyAlignment="1" applyProtection="1">
      <alignment horizontal="left" vertical="center" wrapText="1"/>
      <protection/>
    </xf>
    <xf numFmtId="2" fontId="35" fillId="0" borderId="17" xfId="89" applyNumberFormat="1" applyFont="1" applyFill="1" applyBorder="1" applyAlignment="1" applyProtection="1">
      <alignment horizontal="center" vertical="center"/>
      <protection/>
    </xf>
    <xf numFmtId="0" fontId="28" fillId="0" borderId="0" xfId="89" applyFont="1" applyBorder="1" applyAlignment="1" applyProtection="1">
      <alignment horizontal="left" vertical="center"/>
      <protection/>
    </xf>
    <xf numFmtId="0" fontId="0" fillId="0" borderId="0" xfId="89" applyFont="1" applyBorder="1" applyAlignment="1" applyProtection="1">
      <alignment horizontal="center" vertical="center"/>
      <protection/>
    </xf>
    <xf numFmtId="0" fontId="47" fillId="0" borderId="0" xfId="89" applyFont="1" applyAlignment="1" applyProtection="1">
      <alignment horizontal="center" vertical="top" wrapText="1"/>
      <protection/>
    </xf>
    <xf numFmtId="196" fontId="0" fillId="0" borderId="13" xfId="89" applyNumberFormat="1" applyFont="1" applyFill="1" applyBorder="1" applyAlignment="1" applyProtection="1">
      <alignment horizontal="left"/>
      <protection/>
    </xf>
    <xf numFmtId="0" fontId="0" fillId="0" borderId="14" xfId="89" applyFont="1" applyBorder="1" applyAlignment="1" applyProtection="1">
      <alignment horizontal="left" vertical="center"/>
      <protection/>
    </xf>
    <xf numFmtId="193" fontId="4" fillId="22" borderId="18" xfId="86" applyFont="1" applyFill="1" applyBorder="1" applyAlignment="1" applyProtection="1">
      <alignment horizontal="left"/>
      <protection locked="0"/>
    </xf>
    <xf numFmtId="193" fontId="4" fillId="22" borderId="13" xfId="86" applyFont="1" applyFill="1" applyBorder="1" applyAlignment="1" applyProtection="1">
      <alignment horizontal="left"/>
      <protection locked="0"/>
    </xf>
    <xf numFmtId="193" fontId="4" fillId="22" borderId="38" xfId="86" applyFont="1" applyFill="1" applyBorder="1" applyAlignment="1" applyProtection="1">
      <alignment horizontal="left"/>
      <protection locked="0"/>
    </xf>
    <xf numFmtId="0" fontId="0" fillId="0" borderId="18" xfId="89" applyFont="1" applyFill="1" applyBorder="1" applyAlignment="1" applyProtection="1">
      <alignment horizontal="center" vertical="top" wrapText="1"/>
      <protection/>
    </xf>
    <xf numFmtId="0" fontId="0" fillId="0" borderId="38" xfId="89" applyFont="1" applyFill="1" applyBorder="1" applyAlignment="1" applyProtection="1">
      <alignment horizontal="center" vertical="top" wrapText="1"/>
      <protection/>
    </xf>
    <xf numFmtId="0" fontId="0" fillId="0" borderId="18" xfId="89" applyFont="1" applyFill="1" applyBorder="1" applyAlignment="1" applyProtection="1">
      <alignment horizontal="left" vertical="top" wrapText="1"/>
      <protection/>
    </xf>
    <xf numFmtId="0" fontId="0" fillId="0" borderId="38" xfId="89" applyFont="1" applyFill="1" applyBorder="1" applyAlignment="1" applyProtection="1">
      <alignment horizontal="left" vertical="top" wrapText="1"/>
      <protection/>
    </xf>
    <xf numFmtId="49" fontId="0" fillId="0" borderId="18" xfId="89" applyNumberFormat="1" applyFont="1" applyFill="1" applyBorder="1" applyAlignment="1" applyProtection="1">
      <alignment horizontal="left" vertical="top" wrapText="1"/>
      <protection/>
    </xf>
    <xf numFmtId="0" fontId="0" fillId="0" borderId="13" xfId="89" applyNumberFormat="1" applyFont="1" applyFill="1" applyBorder="1" applyAlignment="1" applyProtection="1">
      <alignment horizontal="left" vertical="top" wrapText="1"/>
      <protection/>
    </xf>
    <xf numFmtId="0" fontId="0" fillId="0" borderId="38" xfId="89" applyNumberFormat="1" applyFont="1" applyFill="1" applyBorder="1" applyAlignment="1" applyProtection="1">
      <alignment horizontal="left" vertical="top" wrapText="1"/>
      <protection/>
    </xf>
    <xf numFmtId="0" fontId="4" fillId="0" borderId="16" xfId="86" applyNumberFormat="1" applyFont="1" applyFill="1" applyBorder="1" applyAlignment="1" applyProtection="1">
      <alignment horizontal="left" wrapText="1"/>
      <protection/>
    </xf>
    <xf numFmtId="0" fontId="28" fillId="0" borderId="14" xfId="89" applyFont="1" applyBorder="1" applyAlignment="1" applyProtection="1">
      <alignment horizontal="center" vertical="center"/>
      <protection/>
    </xf>
    <xf numFmtId="0" fontId="4" fillId="0" borderId="14" xfId="89" applyFont="1" applyFill="1" applyBorder="1" applyAlignment="1" applyProtection="1">
      <alignment horizontal="left" wrapText="1"/>
      <protection/>
    </xf>
    <xf numFmtId="0" fontId="28" fillId="0" borderId="14" xfId="89" applyFont="1" applyFill="1" applyBorder="1" applyAlignment="1" applyProtection="1">
      <alignment horizontal="center" vertical="center"/>
      <protection/>
    </xf>
    <xf numFmtId="4" fontId="28" fillId="0" borderId="14" xfId="89" applyNumberFormat="1" applyFont="1" applyFill="1" applyBorder="1" applyAlignment="1" applyProtection="1">
      <alignment horizontal="center" vertical="center" wrapText="1"/>
      <protection/>
    </xf>
    <xf numFmtId="0" fontId="1" fillId="0" borderId="0" xfId="89" applyFont="1" applyBorder="1" applyAlignment="1" applyProtection="1">
      <alignment horizontal="left" vertical="center"/>
      <protection/>
    </xf>
    <xf numFmtId="0" fontId="42" fillId="0" borderId="0" xfId="0" applyFont="1" applyBorder="1" applyAlignment="1" applyProtection="1" quotePrefix="1">
      <alignment horizontal="left" vertical="center"/>
      <protection/>
    </xf>
    <xf numFmtId="0" fontId="42" fillId="0" borderId="0" xfId="0" applyFont="1" applyBorder="1" applyAlignment="1" applyProtection="1">
      <alignment horizontal="left" vertical="center"/>
      <protection/>
    </xf>
    <xf numFmtId="0" fontId="43" fillId="0" borderId="0" xfId="0" applyFont="1" applyBorder="1" applyAlignment="1" applyProtection="1">
      <alignment horizontal="center"/>
      <protection/>
    </xf>
    <xf numFmtId="0" fontId="42" fillId="0" borderId="0" xfId="0" applyFont="1" applyBorder="1" applyAlignment="1" applyProtection="1">
      <alignment horizontal="center" vertical="top"/>
      <protection/>
    </xf>
    <xf numFmtId="0" fontId="42" fillId="0" borderId="0" xfId="0" applyFont="1" applyBorder="1" applyAlignment="1" applyProtection="1">
      <alignment horizontal="right" vertical="center"/>
      <protection/>
    </xf>
    <xf numFmtId="10" fontId="4" fillId="22" borderId="14" xfId="89" applyNumberFormat="1" applyFont="1" applyFill="1" applyBorder="1" applyAlignment="1" applyProtection="1">
      <alignment horizontal="center"/>
      <protection locked="0"/>
    </xf>
    <xf numFmtId="0" fontId="4" fillId="0" borderId="14" xfId="89" applyFont="1" applyFill="1" applyBorder="1" applyAlignment="1" applyProtection="1">
      <alignment horizontal="left"/>
      <protection/>
    </xf>
    <xf numFmtId="175" fontId="0" fillId="0" borderId="13" xfId="89" applyNumberFormat="1" applyFont="1" applyBorder="1" applyAlignment="1" applyProtection="1">
      <alignment horizontal="left"/>
      <protection/>
    </xf>
    <xf numFmtId="49" fontId="0" fillId="22" borderId="32" xfId="89" applyNumberFormat="1" applyFont="1" applyFill="1" applyBorder="1" applyAlignment="1" applyProtection="1">
      <alignment horizontal="left" vertical="top" wrapText="1"/>
      <protection locked="0"/>
    </xf>
    <xf numFmtId="49" fontId="0" fillId="22" borderId="10" xfId="89" applyNumberFormat="1" applyFont="1" applyFill="1" applyBorder="1" applyAlignment="1" applyProtection="1">
      <alignment horizontal="left" vertical="top" wrapText="1"/>
      <protection locked="0"/>
    </xf>
    <xf numFmtId="49" fontId="0" fillId="22" borderId="19" xfId="89" applyNumberFormat="1" applyFont="1" applyFill="1" applyBorder="1" applyAlignment="1" applyProtection="1">
      <alignment horizontal="left" vertical="top" wrapText="1"/>
      <protection locked="0"/>
    </xf>
    <xf numFmtId="0" fontId="0" fillId="0" borderId="17" xfId="89" applyFont="1" applyBorder="1" applyAlignment="1" applyProtection="1">
      <alignment horizontal="center" vertical="center"/>
      <protection/>
    </xf>
    <xf numFmtId="49" fontId="0" fillId="0" borderId="0" xfId="89" applyNumberFormat="1" applyFont="1" applyFill="1" applyBorder="1" applyAlignment="1" applyProtection="1">
      <alignment horizontal="left"/>
      <protection locked="0"/>
    </xf>
    <xf numFmtId="0" fontId="0" fillId="0" borderId="14" xfId="0" applyFont="1" applyBorder="1" applyAlignment="1">
      <alignment horizontal="center"/>
    </xf>
    <xf numFmtId="0" fontId="28" fillId="0" borderId="32" xfId="0" applyFont="1" applyFill="1" applyBorder="1" applyAlignment="1" applyProtection="1">
      <alignment horizontal="left" wrapText="1"/>
      <protection/>
    </xf>
    <xf numFmtId="0" fontId="28" fillId="0" borderId="10" xfId="0" applyFont="1" applyFill="1" applyBorder="1" applyAlignment="1" applyProtection="1">
      <alignment horizontal="left" wrapText="1"/>
      <protection/>
    </xf>
    <xf numFmtId="0" fontId="28" fillId="0" borderId="19" xfId="0" applyFont="1" applyFill="1" applyBorder="1" applyAlignment="1" applyProtection="1">
      <alignment horizontal="left" wrapText="1"/>
      <protection/>
    </xf>
    <xf numFmtId="0" fontId="32" fillId="22" borderId="11" xfId="0" applyFont="1" applyFill="1" applyBorder="1" applyAlignment="1" applyProtection="1">
      <alignment horizontal="left" wrapText="1"/>
      <protection locked="0"/>
    </xf>
    <xf numFmtId="0" fontId="32" fillId="22" borderId="0" xfId="0" applyFont="1" applyFill="1" applyBorder="1" applyAlignment="1" applyProtection="1">
      <alignment horizontal="left" wrapText="1"/>
      <protection locked="0"/>
    </xf>
    <xf numFmtId="0" fontId="32" fillId="22" borderId="12" xfId="0" applyFont="1" applyFill="1" applyBorder="1" applyAlignment="1" applyProtection="1">
      <alignment horizontal="left" wrapText="1"/>
      <protection locked="0"/>
    </xf>
    <xf numFmtId="0" fontId="32" fillId="22" borderId="18" xfId="0" applyFont="1" applyFill="1" applyBorder="1" applyAlignment="1" applyProtection="1">
      <alignment horizontal="left" wrapText="1"/>
      <protection locked="0"/>
    </xf>
    <xf numFmtId="0" fontId="32" fillId="22" borderId="13" xfId="0" applyFont="1" applyFill="1" applyBorder="1" applyAlignment="1" applyProtection="1">
      <alignment horizontal="left" wrapText="1"/>
      <protection locked="0"/>
    </xf>
    <xf numFmtId="0" fontId="32" fillId="22" borderId="38" xfId="0" applyFont="1" applyFill="1" applyBorder="1" applyAlignment="1" applyProtection="1">
      <alignment horizontal="left" wrapText="1"/>
      <protection locked="0"/>
    </xf>
    <xf numFmtId="0" fontId="32" fillId="0" borderId="32"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194" fontId="0" fillId="0" borderId="0" xfId="0" applyNumberFormat="1" applyFont="1" applyBorder="1" applyAlignment="1" applyProtection="1">
      <alignment horizontal="left"/>
      <protection locked="0"/>
    </xf>
    <xf numFmtId="196" fontId="0" fillId="0" borderId="13" xfId="0" applyNumberFormat="1" applyFont="1" applyBorder="1" applyAlignment="1" applyProtection="1">
      <alignment horizontal="left"/>
      <protection locked="0"/>
    </xf>
    <xf numFmtId="196" fontId="0" fillId="0" borderId="13" xfId="0" applyNumberFormat="1" applyFont="1" applyBorder="1" applyAlignment="1" applyProtection="1">
      <alignment horizontal="left"/>
      <protection/>
    </xf>
    <xf numFmtId="194" fontId="0" fillId="0" borderId="13" xfId="0" applyNumberFormat="1" applyFont="1" applyBorder="1" applyAlignment="1" applyProtection="1">
      <alignment horizontal="left"/>
      <protection/>
    </xf>
    <xf numFmtId="0" fontId="32" fillId="7" borderId="36" xfId="0" applyFont="1" applyFill="1" applyBorder="1" applyAlignment="1" applyProtection="1">
      <alignment horizontal="center" vertical="center" shrinkToFit="1"/>
      <protection/>
    </xf>
    <xf numFmtId="0" fontId="32" fillId="7" borderId="11" xfId="0" applyFont="1" applyFill="1" applyBorder="1" applyAlignment="1" applyProtection="1">
      <alignment horizontal="center" vertical="center" shrinkToFit="1"/>
      <protection/>
    </xf>
    <xf numFmtId="0" fontId="32" fillId="7" borderId="37" xfId="0" applyFont="1" applyFill="1" applyBorder="1" applyAlignment="1" applyProtection="1">
      <alignment horizontal="center" vertical="center" wrapText="1"/>
      <protection/>
    </xf>
    <xf numFmtId="0" fontId="32" fillId="7" borderId="12" xfId="0" applyFont="1" applyFill="1" applyBorder="1" applyAlignment="1" applyProtection="1">
      <alignment horizontal="center" vertical="center" wrapText="1"/>
      <protection/>
    </xf>
    <xf numFmtId="4" fontId="32" fillId="7" borderId="28" xfId="0" applyNumberFormat="1" applyFont="1" applyFill="1" applyBorder="1" applyAlignment="1" applyProtection="1">
      <alignment horizontal="center" vertical="center"/>
      <protection/>
    </xf>
    <xf numFmtId="4" fontId="32" fillId="7" borderId="15" xfId="0" applyNumberFormat="1" applyFont="1" applyFill="1" applyBorder="1" applyAlignment="1" applyProtection="1">
      <alignment horizontal="center" vertical="center"/>
      <protection/>
    </xf>
    <xf numFmtId="0" fontId="32" fillId="0" borderId="0" xfId="0" applyFont="1" applyAlignment="1" applyProtection="1">
      <alignment horizontal="center" vertical="top" wrapText="1"/>
      <protection/>
    </xf>
    <xf numFmtId="175"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96" fontId="0" fillId="0" borderId="13" xfId="0" applyNumberFormat="1" applyFont="1" applyFill="1" applyBorder="1" applyAlignment="1" applyProtection="1">
      <alignment horizontal="left" vertical="center"/>
      <protection/>
    </xf>
    <xf numFmtId="194" fontId="0" fillId="0" borderId="13" xfId="0" applyNumberFormat="1" applyFont="1" applyBorder="1" applyAlignment="1" applyProtection="1">
      <alignment horizontal="left" vertical="center"/>
      <protection/>
    </xf>
    <xf numFmtId="0" fontId="28" fillId="24" borderId="21" xfId="0" applyFont="1" applyFill="1" applyBorder="1" applyAlignment="1" applyProtection="1">
      <alignment horizontal="center" vertical="center" wrapText="1"/>
      <protection/>
    </xf>
    <xf numFmtId="0" fontId="28" fillId="24" borderId="40" xfId="0" applyFont="1" applyFill="1" applyBorder="1" applyAlignment="1" applyProtection="1">
      <alignment horizontal="center" vertical="center" wrapText="1"/>
      <protection/>
    </xf>
    <xf numFmtId="0" fontId="28" fillId="24" borderId="11" xfId="0" applyFont="1" applyFill="1" applyBorder="1" applyAlignment="1" applyProtection="1">
      <alignment horizontal="center" vertical="center" wrapText="1"/>
      <protection/>
    </xf>
    <xf numFmtId="0" fontId="28" fillId="24" borderId="12" xfId="0" applyFont="1" applyFill="1" applyBorder="1" applyAlignment="1" applyProtection="1">
      <alignment horizontal="center" vertical="center" wrapText="1"/>
      <protection/>
    </xf>
    <xf numFmtId="0" fontId="28" fillId="24" borderId="18" xfId="0" applyFont="1" applyFill="1" applyBorder="1" applyAlignment="1" applyProtection="1">
      <alignment horizontal="center" vertical="center" wrapText="1"/>
      <protection/>
    </xf>
    <xf numFmtId="0" fontId="28" fillId="24" borderId="38" xfId="0" applyFont="1" applyFill="1" applyBorder="1" applyAlignment="1" applyProtection="1">
      <alignment horizontal="center" vertical="center" wrapText="1"/>
      <protection/>
    </xf>
    <xf numFmtId="4" fontId="28" fillId="24" borderId="30" xfId="0" applyNumberFormat="1" applyFont="1" applyFill="1" applyBorder="1" applyAlignment="1" applyProtection="1">
      <alignment horizontal="center" vertical="center" shrinkToFit="1"/>
      <protection/>
    </xf>
    <xf numFmtId="4" fontId="28" fillId="24" borderId="15" xfId="0" applyNumberFormat="1" applyFont="1" applyFill="1" applyBorder="1" applyAlignment="1" applyProtection="1">
      <alignment horizontal="center" vertical="center" shrinkToFit="1"/>
      <protection/>
    </xf>
    <xf numFmtId="4" fontId="28" fillId="24" borderId="16" xfId="0" applyNumberFormat="1" applyFont="1" applyFill="1" applyBorder="1" applyAlignment="1" applyProtection="1">
      <alignment horizontal="center" vertical="center" shrinkToFit="1"/>
      <protection/>
    </xf>
    <xf numFmtId="0" fontId="4"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49" fontId="50" fillId="26" borderId="41" xfId="0" applyNumberFormat="1" applyFont="1" applyFill="1" applyBorder="1" applyAlignment="1" applyProtection="1">
      <alignment horizont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65"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cel Built-in Normal" xfId="71"/>
    <cellStyle name="Explanatory Text" xfId="72"/>
    <cellStyle name="Good" xfId="73"/>
    <cellStyle name="Heading 1" xfId="74"/>
    <cellStyle name="Heading 2" xfId="75"/>
    <cellStyle name="Heading 3" xfId="76"/>
    <cellStyle name="Heading 4" xfId="77"/>
    <cellStyle name="Hyperlink" xfId="78"/>
    <cellStyle name="Followed Hyperlink" xfId="79"/>
    <cellStyle name="Incorreto" xfId="80"/>
    <cellStyle name="Input" xfId="81"/>
    <cellStyle name="Linked Cell" xfId="82"/>
    <cellStyle name="Currency" xfId="83"/>
    <cellStyle name="Currency [0]" xfId="84"/>
    <cellStyle name="Moeda 2" xfId="85"/>
    <cellStyle name="Moeda_Composicao BDI v2.1" xfId="86"/>
    <cellStyle name="Neutra" xfId="87"/>
    <cellStyle name="Neutral" xfId="88"/>
    <cellStyle name="Normal 2" xfId="89"/>
    <cellStyle name="Normal_FICHA DE VERIFICAÇÃO PRELIMINAR - Plano R" xfId="90"/>
    <cellStyle name="Nota" xfId="91"/>
    <cellStyle name="Note" xfId="92"/>
    <cellStyle name="Output" xfId="93"/>
    <cellStyle name="Percent" xfId="94"/>
    <cellStyle name="Saída" xfId="95"/>
    <cellStyle name="Comma [0]"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Comma" xfId="106"/>
    <cellStyle name="Warning Text" xfId="107"/>
  </cellStyles>
  <dxfs count="662">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border>
        <top style="thin"/>
      </border>
    </dxf>
    <dxf>
      <fill>
        <patternFill>
          <bgColor indexed="55"/>
        </patternFill>
      </fill>
    </dxf>
    <dxf>
      <font>
        <color indexed="9"/>
      </font>
      <fill>
        <patternFill patternType="none">
          <bgColor indexed="65"/>
        </patternFill>
      </fill>
      <border>
        <top/>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font>
      <fill>
        <patternFill>
          <bgColor indexed="55"/>
        </patternFill>
      </fill>
      <border>
        <top style="thin"/>
      </border>
    </dxf>
    <dxf>
      <font>
        <color indexed="9"/>
      </font>
      <fill>
        <patternFill patternType="none">
          <bgColor indexed="65"/>
        </patternFill>
      </fill>
      <border>
        <left/>
        <right/>
        <top/>
        <bottom/>
      </border>
    </dxf>
    <dxf>
      <font>
        <b/>
        <i val="0"/>
        <color indexed="9"/>
      </font>
      <fill>
        <patternFill>
          <bgColor indexed="10"/>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bgColor indexed="43"/>
        </patternFill>
      </fill>
    </dxf>
    <dxf>
      <font>
        <color indexed="9"/>
      </font>
      <fill>
        <patternFill patternType="none">
          <bgColor indexed="65"/>
        </patternFill>
      </fill>
      <border>
        <left/>
        <right/>
        <top/>
        <bottom/>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ont>
        <color rgb="FFFF0000"/>
      </font>
      <border>
        <left style="thin">
          <color rgb="FF000000"/>
        </left>
        <right style="thin">
          <color rgb="FF000000"/>
        </right>
        <top style="thin"/>
        <bottom style="thin">
          <color rgb="FF000000"/>
        </bottom>
      </border>
    </dxf>
    <dxf>
      <font>
        <color rgb="FF008000"/>
      </font>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
      <font>
        <b/>
        <i val="0"/>
      </font>
      <fill>
        <patternFill>
          <bgColor rgb="FF969696"/>
        </patternFill>
      </fill>
      <border>
        <top style="thin">
          <color rgb="FF000000"/>
        </top>
      </border>
    </dxf>
    <dxf>
      <font>
        <b/>
        <i val="0"/>
        <color rgb="FF969696"/>
      </font>
      <fill>
        <patternFill>
          <bgColor rgb="FF969696"/>
        </patternFill>
      </fill>
      <border>
        <top style="thin">
          <color rgb="FF000000"/>
        </top>
      </border>
    </dxf>
    <dxf>
      <font>
        <b val="0"/>
        <i val="0"/>
        <color rgb="FF969696"/>
      </font>
      <fill>
        <patternFill>
          <bgColor rgb="FF969696"/>
        </patternFill>
      </fill>
      <border>
        <top style="thin">
          <color rgb="FF000000"/>
        </top>
      </border>
    </dxf>
    <dxf>
      <font>
        <b/>
        <i val="0"/>
        <u val="single"/>
        <color auto="1"/>
      </font>
      <fill>
        <patternFill>
          <bgColor rgb="FF969696"/>
        </patternFill>
      </fill>
      <border>
        <top style="thin">
          <color rgb="FF000000"/>
        </top>
      </border>
    </dxf>
    <dxf>
      <border>
        <top style="thin">
          <color rgb="FF000000"/>
        </top>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6.emf" /><Relationship Id="rId5" Type="http://schemas.openxmlformats.org/officeDocument/2006/relationships/image" Target="../media/image14.emf" /><Relationship Id="rId6" Type="http://schemas.openxmlformats.org/officeDocument/2006/relationships/image" Target="../media/image16.emf" /><Relationship Id="rId7" Type="http://schemas.openxmlformats.org/officeDocument/2006/relationships/image" Target="../media/image14.emf" /><Relationship Id="rId8" Type="http://schemas.openxmlformats.org/officeDocument/2006/relationships/image" Target="../media/image16.emf" /><Relationship Id="rId9" Type="http://schemas.openxmlformats.org/officeDocument/2006/relationships/image" Target="../media/image14.emf" /><Relationship Id="rId10" Type="http://schemas.openxmlformats.org/officeDocument/2006/relationships/image" Target="../media/image16.emf" /><Relationship Id="rId11" Type="http://schemas.openxmlformats.org/officeDocument/2006/relationships/image" Target="../media/image14.emf" /><Relationship Id="rId12" Type="http://schemas.openxmlformats.org/officeDocument/2006/relationships/image" Target="../media/image16.emf" /><Relationship Id="rId13" Type="http://schemas.openxmlformats.org/officeDocument/2006/relationships/image" Target="../media/image14.emf" /><Relationship Id="rId14"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2" name="Picture 476"/>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19050</xdr:rowOff>
    </xdr:from>
    <xdr:to>
      <xdr:col>11</xdr:col>
      <xdr:colOff>1009650</xdr:colOff>
      <xdr:row>2</xdr:row>
      <xdr:rowOff>76200</xdr:rowOff>
    </xdr:to>
    <xdr:pic>
      <xdr:nvPicPr>
        <xdr:cNvPr id="1" name="Picture 555"/>
        <xdr:cNvPicPr preferRelativeResize="1">
          <a:picLocks noChangeAspect="1"/>
        </xdr:cNvPicPr>
      </xdr:nvPicPr>
      <xdr:blipFill>
        <a:blip r:embed="rId1"/>
        <a:stretch>
          <a:fillRect/>
        </a:stretch>
      </xdr:blipFill>
      <xdr:spPr>
        <a:xfrm>
          <a:off x="638175" y="19050"/>
          <a:ext cx="1800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1104900</xdr:colOff>
      <xdr:row>1</xdr:row>
      <xdr:rowOff>190500</xdr:rowOff>
    </xdr:to>
    <xdr:pic>
      <xdr:nvPicPr>
        <xdr:cNvPr id="1" name="Picture 160"/>
        <xdr:cNvPicPr preferRelativeResize="1">
          <a:picLocks noChangeAspect="1"/>
        </xdr:cNvPicPr>
      </xdr:nvPicPr>
      <xdr:blipFill>
        <a:blip r:embed="rId1"/>
        <a:stretch>
          <a:fillRect/>
        </a:stretch>
      </xdr:blipFill>
      <xdr:spPr>
        <a:xfrm>
          <a:off x="876300" y="28575"/>
          <a:ext cx="1790700" cy="381000"/>
        </a:xfrm>
        <a:prstGeom prst="rect">
          <a:avLst/>
        </a:prstGeom>
        <a:noFill/>
        <a:ln w="9525" cmpd="sng">
          <a:noFill/>
        </a:ln>
      </xdr:spPr>
    </xdr:pic>
    <xdr:clientData/>
  </xdr:twoCellAnchor>
  <xdr:twoCellAnchor>
    <xdr:from>
      <xdr:col>3</xdr:col>
      <xdr:colOff>28575</xdr:colOff>
      <xdr:row>8</xdr:row>
      <xdr:rowOff>123825</xdr:rowOff>
    </xdr:from>
    <xdr:to>
      <xdr:col>4</xdr:col>
      <xdr:colOff>800100</xdr:colOff>
      <xdr:row>8</xdr:row>
      <xdr:rowOff>638175</xdr:rowOff>
    </xdr:to>
    <xdr:sp>
      <xdr:nvSpPr>
        <xdr:cNvPr id="2" name="AutoShape 68" descr="Frente de Obra:"/>
        <xdr:cNvSpPr>
          <a:spLocks/>
        </xdr:cNvSpPr>
      </xdr:nvSpPr>
      <xdr:spPr>
        <a:xfrm>
          <a:off x="5629275" y="2095500"/>
          <a:ext cx="1285875" cy="514350"/>
        </a:xfrm>
        <a:prstGeom prst="rightArrow">
          <a:avLst>
            <a:gd name="adj" fmla="val 27120"/>
          </a:avLst>
        </a:prstGeom>
        <a:solidFill>
          <a:srgbClr val="CCFFCC"/>
        </a:solidFill>
        <a:ln w="9525" cmpd="sng">
          <a:solidFill>
            <a:srgbClr val="000000"/>
          </a:solidFill>
          <a:headEnd type="none"/>
          <a:tailEnd type="none"/>
        </a:ln>
      </xdr:spPr>
      <xdr:txBody>
        <a:bodyPr vertOverflow="clip" wrap="square" lIns="27432" tIns="22860" rIns="27432" bIns="22860"/>
        <a:p>
          <a:pPr algn="l">
            <a:defRPr/>
          </a:pPr>
          <a:r>
            <a:rPr lang="en-US" cap="none" sz="1000" b="1" i="0" u="none" baseline="0">
              <a:solidFill>
                <a:srgbClr val="000000"/>
              </a:solidFill>
              <a:latin typeface="Arial"/>
              <a:ea typeface="Arial"/>
              <a:cs typeface="Arial"/>
            </a:rPr>
            <a:t>Frente de Obra: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38100</xdr:rowOff>
    </xdr:from>
    <xdr:to>
      <xdr:col>12</xdr:col>
      <xdr:colOff>1133475</xdr:colOff>
      <xdr:row>2</xdr:row>
      <xdr:rowOff>95250</xdr:rowOff>
    </xdr:to>
    <xdr:pic>
      <xdr:nvPicPr>
        <xdr:cNvPr id="1" name="Picture 962"/>
        <xdr:cNvPicPr preferRelativeResize="1">
          <a:picLocks noChangeAspect="1"/>
        </xdr:cNvPicPr>
      </xdr:nvPicPr>
      <xdr:blipFill>
        <a:blip r:embed="rId1"/>
        <a:stretch>
          <a:fillRect/>
        </a:stretch>
      </xdr:blipFill>
      <xdr:spPr>
        <a:xfrm>
          <a:off x="57150" y="38100"/>
          <a:ext cx="1790700" cy="381000"/>
        </a:xfrm>
        <a:prstGeom prst="rect">
          <a:avLst/>
        </a:prstGeom>
        <a:noFill/>
        <a:ln w="9525" cmpd="sng">
          <a:noFill/>
        </a:ln>
      </xdr:spPr>
    </xdr:pic>
    <xdr:clientData/>
  </xdr:twoCellAnchor>
  <xdr:oneCellAnchor>
    <xdr:from>
      <xdr:col>11</xdr:col>
      <xdr:colOff>628650</xdr:colOff>
      <xdr:row>7</xdr:row>
      <xdr:rowOff>209550</xdr:rowOff>
    </xdr:from>
    <xdr:ext cx="1781175" cy="342900"/>
    <xdr:sp macro="[0]!EditarCRONO">
      <xdr:nvSpPr>
        <xdr:cNvPr id="2" name="AddCFF"/>
        <xdr:cNvSpPr txBox="1">
          <a:spLocks noChangeArrowheads="1"/>
        </xdr:cNvSpPr>
      </xdr:nvSpPr>
      <xdr:spPr>
        <a:xfrm>
          <a:off x="628650" y="1914525"/>
          <a:ext cx="1781175" cy="342900"/>
        </a:xfrm>
        <a:prstGeom prst="rect">
          <a:avLst/>
        </a:prstGeom>
        <a:solidFill>
          <a:srgbClr val="99FF99"/>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EDITAR / ATUALIZAR CRONOGRAMA</a:t>
          </a:r>
        </a:p>
      </xdr:txBody>
    </xdr:sp>
    <xdr:clientData fPrintsWithSheet="0"/>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3">
    <tabColor rgb="FFFFC000"/>
    <pageSetUpPr fitToPage="1"/>
  </sheetPr>
  <dimension ref="A1:Y257"/>
  <sheetViews>
    <sheetView showGridLines="0" zoomScaleSheetLayoutView="100" zoomScalePageLayoutView="0" workbookViewId="0" topLeftCell="A40">
      <selection activeCell="B58" sqref="B58"/>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69" t="s">
        <v>2</v>
      </c>
      <c r="C1" s="269"/>
      <c r="D1" s="269"/>
      <c r="E1" s="269"/>
      <c r="F1" s="269"/>
      <c r="G1" s="269"/>
      <c r="H1" s="269"/>
      <c r="I1" s="269"/>
      <c r="J1" s="269"/>
      <c r="K1" s="269"/>
      <c r="L1" s="269"/>
      <c r="M1" s="269"/>
      <c r="N1" s="269"/>
      <c r="O1" s="269"/>
      <c r="P1" s="269"/>
      <c r="Q1" s="269"/>
      <c r="R1" s="269"/>
      <c r="S1" s="269"/>
      <c r="T1" s="269"/>
      <c r="U1" s="269"/>
      <c r="V1" s="269"/>
      <c r="W1" s="269"/>
      <c r="X1" s="270"/>
    </row>
    <row r="2" spans="1:24" ht="13.5" customHeight="1">
      <c r="A2" s="105" t="s">
        <v>228</v>
      </c>
      <c r="B2" s="271"/>
      <c r="C2" s="271"/>
      <c r="D2" s="271"/>
      <c r="E2" s="271"/>
      <c r="F2" s="271"/>
      <c r="G2" s="271"/>
      <c r="H2" s="271"/>
      <c r="I2" s="271"/>
      <c r="J2" s="271"/>
      <c r="K2" s="271"/>
      <c r="L2" s="271"/>
      <c r="M2" s="271"/>
      <c r="N2" s="271"/>
      <c r="O2" s="271"/>
      <c r="P2" s="271"/>
      <c r="Q2" s="271"/>
      <c r="R2" s="271"/>
      <c r="S2" s="271"/>
      <c r="T2" s="271"/>
      <c r="U2" s="271"/>
      <c r="V2" s="271"/>
      <c r="W2" s="271"/>
      <c r="X2" s="272"/>
    </row>
    <row r="3" spans="1:8" ht="13.5" customHeight="1">
      <c r="A3" s="1"/>
      <c r="B3" s="1"/>
      <c r="F3" s="1"/>
      <c r="G3" s="1"/>
      <c r="H3" s="1"/>
    </row>
    <row r="4" spans="1:24" s="21" customFormat="1" ht="12.75" customHeight="1">
      <c r="A4" s="249" t="s">
        <v>168</v>
      </c>
      <c r="B4" s="249"/>
      <c r="C4" s="249"/>
      <c r="D4" s="249"/>
      <c r="E4" s="249"/>
      <c r="F4" s="249"/>
      <c r="G4" s="249"/>
      <c r="H4" s="249"/>
      <c r="I4" s="249"/>
      <c r="J4" s="249"/>
      <c r="K4" s="249"/>
      <c r="L4" s="249"/>
      <c r="M4" s="249"/>
      <c r="N4" s="249"/>
      <c r="O4" s="249"/>
      <c r="P4" s="249"/>
      <c r="Q4" s="249"/>
      <c r="R4" s="249"/>
      <c r="S4" s="249"/>
      <c r="T4" s="249"/>
      <c r="U4" s="249"/>
      <c r="V4" s="249"/>
      <c r="W4" s="249"/>
      <c r="X4" s="249"/>
    </row>
    <row r="5" spans="1:8" s="21" customFormat="1" ht="12.75">
      <c r="A5" s="22"/>
      <c r="B5" s="22"/>
      <c r="F5" s="23"/>
      <c r="G5" s="23"/>
      <c r="H5" s="23"/>
    </row>
    <row r="6" spans="1:24" s="22" customFormat="1" ht="24.75" customHeight="1">
      <c r="A6" s="250" t="s">
        <v>179</v>
      </c>
      <c r="B6" s="251"/>
      <c r="C6" s="251"/>
      <c r="D6" s="251"/>
      <c r="E6" s="251"/>
      <c r="F6" s="251"/>
      <c r="G6" s="251"/>
      <c r="H6" s="251"/>
      <c r="I6" s="251"/>
      <c r="J6" s="251"/>
      <c r="K6" s="251"/>
      <c r="L6" s="251"/>
      <c r="M6" s="251"/>
      <c r="N6" s="251"/>
      <c r="O6" s="251"/>
      <c r="P6" s="251"/>
      <c r="Q6" s="251"/>
      <c r="R6" s="251"/>
      <c r="S6" s="251"/>
      <c r="T6" s="251"/>
      <c r="U6" s="251"/>
      <c r="V6" s="251"/>
      <c r="W6" s="251"/>
      <c r="X6" s="251"/>
    </row>
    <row r="7" spans="1:8" s="21" customFormat="1" ht="12.75" customHeight="1">
      <c r="A7" s="22"/>
      <c r="B7" s="22"/>
      <c r="F7" s="23"/>
      <c r="G7" s="23"/>
      <c r="H7" s="23"/>
    </row>
    <row r="8" spans="1:25" s="21" customFormat="1" ht="12.75" customHeight="1">
      <c r="A8" s="252" t="s">
        <v>23</v>
      </c>
      <c r="B8" s="252"/>
      <c r="C8" s="252"/>
      <c r="D8" s="252"/>
      <c r="E8" s="252"/>
      <c r="F8" s="252"/>
      <c r="G8" s="252"/>
      <c r="H8" s="252"/>
      <c r="I8" s="252"/>
      <c r="J8" s="252"/>
      <c r="K8" s="252"/>
      <c r="L8" s="252"/>
      <c r="M8" s="252"/>
      <c r="N8" s="252"/>
      <c r="O8" s="252"/>
      <c r="P8" s="252"/>
      <c r="Q8" s="252"/>
      <c r="R8" s="252"/>
      <c r="S8" s="252"/>
      <c r="T8" s="252"/>
      <c r="U8" s="252"/>
      <c r="V8" s="252"/>
      <c r="W8" s="252"/>
      <c r="X8" s="252"/>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254" t="s">
        <v>169</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75" customHeight="1">
      <c r="A12" s="254" t="s">
        <v>1</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row>
    <row r="13" spans="1:8" s="21" customFormat="1" ht="12.75">
      <c r="A13" s="22"/>
      <c r="B13" s="22"/>
      <c r="F13" s="23"/>
      <c r="G13" s="23"/>
      <c r="H13" s="23"/>
    </row>
    <row r="14" spans="1:24" s="21" customFormat="1" ht="12.75">
      <c r="A14" s="253" t="s">
        <v>24</v>
      </c>
      <c r="B14" s="252"/>
      <c r="C14" s="252"/>
      <c r="D14" s="252"/>
      <c r="E14" s="252"/>
      <c r="F14" s="252"/>
      <c r="G14" s="252"/>
      <c r="H14" s="252"/>
      <c r="I14" s="252"/>
      <c r="J14" s="252"/>
      <c r="K14" s="252"/>
      <c r="L14" s="252"/>
      <c r="M14" s="252"/>
      <c r="N14" s="252"/>
      <c r="O14" s="252"/>
      <c r="P14" s="252"/>
      <c r="Q14" s="252"/>
      <c r="R14" s="252"/>
      <c r="S14" s="252"/>
      <c r="T14" s="252"/>
      <c r="U14" s="252"/>
      <c r="V14" s="252"/>
      <c r="W14" s="252"/>
      <c r="X14" s="252"/>
    </row>
    <row r="15" spans="1:8" s="21" customFormat="1" ht="12.75">
      <c r="A15" s="22"/>
      <c r="B15" s="22"/>
      <c r="F15" s="23"/>
      <c r="G15" s="23"/>
      <c r="H15" s="23"/>
    </row>
    <row r="16" spans="1:24" s="21" customFormat="1" ht="12.75">
      <c r="A16" s="255" t="s">
        <v>186</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40" t="s">
        <v>187</v>
      </c>
      <c r="B18" s="240"/>
      <c r="C18" s="241"/>
      <c r="D18" s="241"/>
      <c r="E18" s="241"/>
      <c r="F18" s="241"/>
      <c r="G18" s="241"/>
      <c r="H18" s="241"/>
      <c r="I18" s="241"/>
      <c r="J18" s="241"/>
      <c r="K18" s="241"/>
      <c r="L18" s="241"/>
      <c r="M18" s="241"/>
      <c r="N18" s="241"/>
      <c r="O18" s="241"/>
      <c r="P18" s="241"/>
      <c r="Q18" s="241"/>
      <c r="R18" s="241"/>
      <c r="S18" s="241"/>
      <c r="T18" s="241"/>
      <c r="U18" s="241"/>
      <c r="V18" s="241"/>
      <c r="W18" s="241"/>
      <c r="X18" s="241"/>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255" t="s">
        <v>189</v>
      </c>
      <c r="B22" s="256"/>
      <c r="C22" s="256"/>
      <c r="D22" s="256"/>
      <c r="E22" s="256"/>
      <c r="F22" s="256"/>
      <c r="G22" s="256"/>
      <c r="H22" s="256"/>
      <c r="I22" s="256"/>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40" t="s">
        <v>190</v>
      </c>
      <c r="B24" s="240"/>
      <c r="C24" s="241"/>
      <c r="D24" s="241"/>
      <c r="E24" s="241"/>
      <c r="F24" s="241"/>
      <c r="G24" s="241"/>
      <c r="H24" s="241"/>
      <c r="I24" s="241"/>
      <c r="J24" s="241"/>
      <c r="K24" s="241"/>
      <c r="L24" s="241"/>
      <c r="M24" s="241"/>
      <c r="N24" s="241"/>
      <c r="O24" s="241"/>
      <c r="P24" s="241"/>
      <c r="Q24" s="241"/>
      <c r="R24" s="241"/>
      <c r="S24" s="241"/>
      <c r="T24" s="241"/>
      <c r="U24" s="241"/>
      <c r="V24" s="241"/>
      <c r="W24" s="241"/>
      <c r="X24" s="241"/>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36" t="s">
        <v>191</v>
      </c>
      <c r="B26" s="236"/>
      <c r="C26" s="237"/>
      <c r="D26" s="237"/>
      <c r="E26" s="237"/>
      <c r="F26" s="237"/>
      <c r="G26" s="237"/>
      <c r="H26" s="237"/>
      <c r="I26" s="237"/>
      <c r="J26" s="237"/>
      <c r="K26" s="237"/>
      <c r="L26" s="237"/>
      <c r="M26" s="237"/>
      <c r="N26" s="237"/>
      <c r="O26" s="237"/>
      <c r="P26" s="237"/>
      <c r="Q26" s="237"/>
      <c r="R26" s="237"/>
      <c r="S26" s="237"/>
      <c r="T26" s="237"/>
      <c r="U26" s="237"/>
      <c r="V26" s="237"/>
      <c r="W26" s="237"/>
      <c r="X26" s="237"/>
    </row>
    <row r="27" spans="1:8" s="21" customFormat="1" ht="6" customHeight="1">
      <c r="A27" s="25"/>
      <c r="B27" s="25"/>
      <c r="F27" s="23"/>
      <c r="G27" s="23"/>
      <c r="H27" s="23"/>
    </row>
    <row r="28" spans="1:24" ht="12.75" customHeight="1">
      <c r="A28" s="242" t="s">
        <v>177</v>
      </c>
      <c r="B28" s="243"/>
      <c r="C28" s="242" t="s">
        <v>170</v>
      </c>
      <c r="D28" s="260"/>
      <c r="E28" s="243"/>
      <c r="F28" s="242" t="s">
        <v>171</v>
      </c>
      <c r="G28" s="260"/>
      <c r="H28" s="260"/>
      <c r="I28" s="243"/>
      <c r="J28" s="242" t="s">
        <v>172</v>
      </c>
      <c r="K28" s="260"/>
      <c r="L28" s="260"/>
      <c r="M28" s="260"/>
      <c r="N28" s="260"/>
      <c r="O28" s="243"/>
      <c r="P28" s="242" t="s">
        <v>0</v>
      </c>
      <c r="Q28" s="260"/>
      <c r="R28" s="260"/>
      <c r="S28" s="260"/>
      <c r="T28" s="260"/>
      <c r="U28" s="260"/>
      <c r="V28" s="260"/>
      <c r="W28" s="260"/>
      <c r="X28" s="243"/>
    </row>
    <row r="29" spans="1:24" ht="12.75" customHeight="1">
      <c r="A29" s="244"/>
      <c r="B29" s="245"/>
      <c r="C29" s="257"/>
      <c r="D29" s="258"/>
      <c r="E29" s="259"/>
      <c r="F29" s="244"/>
      <c r="G29" s="291"/>
      <c r="H29" s="291"/>
      <c r="I29" s="245"/>
      <c r="J29" s="257" t="s">
        <v>333</v>
      </c>
      <c r="K29" s="291"/>
      <c r="L29" s="291"/>
      <c r="M29" s="291"/>
      <c r="N29" s="291"/>
      <c r="O29" s="245"/>
      <c r="P29" s="257" t="s">
        <v>334</v>
      </c>
      <c r="Q29" s="291"/>
      <c r="R29" s="291"/>
      <c r="S29" s="291"/>
      <c r="T29" s="291"/>
      <c r="U29" s="291"/>
      <c r="V29" s="291"/>
      <c r="W29" s="291"/>
      <c r="X29" s="245"/>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42" t="s">
        <v>173</v>
      </c>
      <c r="B31" s="260"/>
      <c r="C31" s="260"/>
      <c r="D31" s="260"/>
      <c r="E31" s="260"/>
      <c r="F31" s="243"/>
      <c r="G31" s="242" t="s">
        <v>174</v>
      </c>
      <c r="H31" s="260"/>
      <c r="I31" s="260"/>
      <c r="J31" s="243"/>
      <c r="K31" s="242" t="s">
        <v>175</v>
      </c>
      <c r="L31" s="260"/>
      <c r="M31" s="260"/>
      <c r="N31" s="260"/>
      <c r="O31" s="260"/>
      <c r="P31" s="243"/>
      <c r="Q31" s="242" t="s">
        <v>180</v>
      </c>
      <c r="R31" s="260"/>
      <c r="S31" s="260"/>
      <c r="T31" s="260"/>
      <c r="U31" s="260"/>
      <c r="V31" s="260"/>
      <c r="W31" s="260"/>
      <c r="X31" s="243"/>
    </row>
    <row r="32" spans="1:24" ht="12.75">
      <c r="A32" s="263" t="s">
        <v>335</v>
      </c>
      <c r="B32" s="312"/>
      <c r="C32" s="312"/>
      <c r="D32" s="312"/>
      <c r="E32" s="312"/>
      <c r="F32" s="313"/>
      <c r="G32" s="257" t="s">
        <v>336</v>
      </c>
      <c r="H32" s="258"/>
      <c r="I32" s="258"/>
      <c r="J32" s="259"/>
      <c r="K32" s="244" t="s">
        <v>337</v>
      </c>
      <c r="L32" s="291"/>
      <c r="M32" s="291"/>
      <c r="N32" s="291"/>
      <c r="O32" s="291"/>
      <c r="P32" s="245"/>
      <c r="Q32" s="244" t="s">
        <v>338</v>
      </c>
      <c r="R32" s="291"/>
      <c r="S32" s="291"/>
      <c r="T32" s="291"/>
      <c r="U32" s="291"/>
      <c r="V32" s="291"/>
      <c r="W32" s="291"/>
      <c r="X32" s="245"/>
    </row>
    <row r="33" spans="1:8" s="21" customFormat="1" ht="9" customHeight="1">
      <c r="A33" s="22"/>
      <c r="B33" s="22"/>
      <c r="F33" s="23"/>
      <c r="G33" s="23"/>
      <c r="H33" s="23"/>
    </row>
    <row r="34" s="27" customFormat="1" ht="12.75"/>
    <row r="35" spans="1:24" s="21" customFormat="1" ht="12.75" customHeight="1">
      <c r="A35" s="236" t="s">
        <v>192</v>
      </c>
      <c r="B35" s="236"/>
      <c r="C35" s="237"/>
      <c r="D35" s="237"/>
      <c r="E35" s="237"/>
      <c r="F35" s="237"/>
      <c r="G35" s="237"/>
      <c r="H35" s="237"/>
      <c r="I35" s="237"/>
      <c r="J35" s="237"/>
      <c r="K35" s="237"/>
      <c r="L35" s="237"/>
      <c r="M35" s="237"/>
      <c r="N35" s="237"/>
      <c r="O35" s="237"/>
      <c r="P35" s="237"/>
      <c r="Q35" s="237"/>
      <c r="R35" s="237"/>
      <c r="S35" s="237"/>
      <c r="T35" s="237"/>
      <c r="U35" s="237"/>
      <c r="V35" s="237"/>
      <c r="W35" s="237"/>
      <c r="X35" s="237"/>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42" t="s">
        <v>16</v>
      </c>
      <c r="B37" s="243"/>
      <c r="C37" s="92" t="s">
        <v>91</v>
      </c>
      <c r="D37" s="242" t="s">
        <v>14</v>
      </c>
      <c r="E37" s="260"/>
      <c r="F37" s="243"/>
      <c r="G37" s="242" t="s">
        <v>12</v>
      </c>
      <c r="H37" s="260"/>
      <c r="I37" s="260"/>
      <c r="J37" s="260"/>
      <c r="K37" s="260"/>
      <c r="L37" s="260"/>
      <c r="M37" s="260"/>
      <c r="N37" s="260"/>
      <c r="O37" s="260"/>
      <c r="P37" s="260"/>
      <c r="Q37" s="260"/>
      <c r="R37" s="260"/>
      <c r="S37" s="243"/>
      <c r="T37" s="93" t="s">
        <v>7</v>
      </c>
      <c r="U37" s="93" t="s">
        <v>8</v>
      </c>
      <c r="V37" s="93" t="s">
        <v>9</v>
      </c>
      <c r="W37" s="93" t="s">
        <v>10</v>
      </c>
      <c r="X37" s="93" t="s">
        <v>11</v>
      </c>
    </row>
    <row r="38" spans="1:24" s="21" customFormat="1" ht="12.75" customHeight="1">
      <c r="A38" s="265">
        <v>45231</v>
      </c>
      <c r="B38" s="266"/>
      <c r="C38" s="91" t="s">
        <v>230</v>
      </c>
      <c r="D38" s="257" t="s">
        <v>78</v>
      </c>
      <c r="E38" s="258"/>
      <c r="F38" s="259"/>
      <c r="G38" s="257" t="s">
        <v>339</v>
      </c>
      <c r="H38" s="258"/>
      <c r="I38" s="258"/>
      <c r="J38" s="258"/>
      <c r="K38" s="258"/>
      <c r="L38" s="258"/>
      <c r="M38" s="258"/>
      <c r="N38" s="258"/>
      <c r="O38" s="258"/>
      <c r="P38" s="258"/>
      <c r="Q38" s="258"/>
      <c r="R38" s="258"/>
      <c r="S38" s="259"/>
      <c r="T38" s="95">
        <f ca="1">IF(ISERROR(INDIRECT("'BDI ("&amp;RIGHT(T37,1)&amp;")'!N27")),"",INDIRECT("'BDI ("&amp;RIGHT(T37,1)&amp;")'!N27"))</f>
        <v>0.21</v>
      </c>
      <c r="U38" s="96">
        <f ca="1">IF(ISERROR(INDIRECT("'BDI ("&amp;RIGHT(U37,1)&amp;")'!N27")),"",INDIRECT("'BDI ("&amp;RIGHT(U37,1)&amp;")'!N27"))</f>
      </c>
      <c r="V38" s="96">
        <f ca="1">IF(ISERROR(INDIRECT("'BDI ("&amp;RIGHT(V37,1)&amp;")'!N27")),"",INDIRECT("'BDI ("&amp;RIGHT(V37,1)&amp;")'!N27"))</f>
      </c>
      <c r="W38" s="96">
        <f ca="1">IF(ISERROR(INDIRECT("'BDI ("&amp;RIGHT(W37,1)&amp;")'!N27")),"",INDIRECT("'BDI ("&amp;RIGHT(W37,1)&amp;")'!N27"))</f>
      </c>
      <c r="X38" s="96">
        <f ca="1">IF(ISERROR(INDIRECT("'BDI ("&amp;RIGHT(X37,1)&amp;")'!N27")),"",INDIRECT("'BDI ("&amp;RIGHT(X37,1)&amp;")'!N27"))</f>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36" t="s">
        <v>162</v>
      </c>
      <c r="B40" s="236"/>
      <c r="C40" s="237"/>
      <c r="D40" s="237"/>
      <c r="E40" s="237"/>
      <c r="F40" s="237"/>
      <c r="G40" s="237"/>
      <c r="H40" s="237"/>
      <c r="I40" s="237"/>
      <c r="J40" s="237"/>
      <c r="K40" s="237"/>
      <c r="L40" s="237"/>
      <c r="M40" s="237"/>
      <c r="N40" s="237"/>
      <c r="O40" s="237"/>
      <c r="P40" s="237"/>
      <c r="Q40" s="237"/>
      <c r="R40" s="237"/>
      <c r="S40" s="237"/>
      <c r="T40" s="237"/>
      <c r="U40" s="237"/>
      <c r="V40" s="237"/>
      <c r="W40" s="237"/>
      <c r="X40" s="237"/>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42" t="s">
        <v>87</v>
      </c>
      <c r="B42" s="243"/>
      <c r="C42" s="242" t="s">
        <v>111</v>
      </c>
      <c r="D42" s="260"/>
      <c r="E42" s="260"/>
      <c r="F42" s="260"/>
      <c r="G42" s="260"/>
      <c r="H42" s="242" t="s">
        <v>16</v>
      </c>
      <c r="I42" s="260"/>
      <c r="J42" s="28" t="s">
        <v>91</v>
      </c>
      <c r="K42" s="242" t="s">
        <v>88</v>
      </c>
      <c r="L42" s="260"/>
      <c r="M42" s="243"/>
      <c r="N42" s="28" t="s">
        <v>92</v>
      </c>
      <c r="O42" s="242" t="s">
        <v>93</v>
      </c>
      <c r="P42" s="260"/>
      <c r="Q42" s="260"/>
      <c r="R42" s="260"/>
      <c r="S42" s="260"/>
      <c r="T42" s="243"/>
      <c r="U42" s="267" t="s">
        <v>89</v>
      </c>
      <c r="V42" s="268"/>
      <c r="W42" s="267" t="s">
        <v>90</v>
      </c>
      <c r="X42" s="268"/>
    </row>
    <row r="43" spans="1:24" s="21" customFormat="1" ht="12.75" customHeight="1">
      <c r="A43" s="263"/>
      <c r="B43" s="264"/>
      <c r="C43" s="257"/>
      <c r="D43" s="258"/>
      <c r="E43" s="258"/>
      <c r="F43" s="258"/>
      <c r="G43" s="258"/>
      <c r="H43" s="265"/>
      <c r="I43" s="266"/>
      <c r="J43" s="88"/>
      <c r="K43" s="282"/>
      <c r="L43" s="283"/>
      <c r="M43" s="284"/>
      <c r="N43" s="104"/>
      <c r="O43" s="275"/>
      <c r="P43" s="276"/>
      <c r="Q43" s="276"/>
      <c r="R43" s="277"/>
      <c r="S43" s="277"/>
      <c r="T43" s="278"/>
      <c r="U43" s="273"/>
      <c r="V43" s="279"/>
      <c r="W43" s="273"/>
      <c r="X43" s="274"/>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36" t="s">
        <v>193</v>
      </c>
      <c r="B45" s="236"/>
      <c r="C45" s="237"/>
      <c r="D45" s="237"/>
      <c r="E45" s="237"/>
      <c r="F45" s="237"/>
      <c r="G45" s="237"/>
      <c r="H45" s="237"/>
      <c r="I45" s="237"/>
      <c r="J45" s="237"/>
      <c r="K45" s="237"/>
      <c r="L45" s="237"/>
      <c r="M45" s="237"/>
      <c r="N45" s="237"/>
      <c r="O45" s="237"/>
      <c r="P45" s="237"/>
      <c r="Q45" s="237"/>
      <c r="R45" s="237"/>
      <c r="S45" s="237"/>
      <c r="T45" s="237"/>
      <c r="U45" s="237"/>
      <c r="V45" s="237"/>
      <c r="W45" s="237"/>
      <c r="X45" s="237"/>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88">
        <v>45352</v>
      </c>
      <c r="B48" s="289"/>
      <c r="C48" s="290"/>
      <c r="E48" s="37"/>
    </row>
    <row r="49" spans="1:8" s="21" customFormat="1" ht="12.75">
      <c r="A49" s="22"/>
      <c r="B49" s="22"/>
      <c r="F49" s="33"/>
      <c r="G49" s="34"/>
      <c r="H49" s="35"/>
    </row>
    <row r="50" spans="1:24" s="21" customFormat="1" ht="12.75">
      <c r="A50" s="236" t="s">
        <v>194</v>
      </c>
      <c r="B50" s="236"/>
      <c r="C50" s="237"/>
      <c r="D50" s="237"/>
      <c r="E50" s="237"/>
      <c r="F50" s="237"/>
      <c r="G50" s="237"/>
      <c r="H50" s="237"/>
      <c r="I50" s="237"/>
      <c r="J50" s="237"/>
      <c r="K50" s="237"/>
      <c r="L50" s="237"/>
      <c r="M50" s="237"/>
      <c r="N50" s="237"/>
      <c r="O50" s="237"/>
      <c r="P50" s="237"/>
      <c r="Q50" s="237"/>
      <c r="R50" s="237"/>
      <c r="S50" s="237"/>
      <c r="T50" s="237"/>
      <c r="U50" s="237"/>
      <c r="V50" s="237"/>
      <c r="W50" s="237"/>
      <c r="X50" s="237"/>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229</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80"/>
      <c r="C54" s="281"/>
      <c r="D54" s="281"/>
      <c r="E54" s="281"/>
      <c r="F54" s="33"/>
      <c r="G54" s="101" t="s">
        <v>140</v>
      </c>
      <c r="H54" s="281"/>
      <c r="I54" s="281"/>
      <c r="J54" s="281"/>
      <c r="K54" s="281"/>
      <c r="L54" s="2"/>
      <c r="M54"/>
      <c r="N54"/>
      <c r="O54"/>
      <c r="P54"/>
      <c r="Q54"/>
      <c r="R54"/>
      <c r="S54"/>
      <c r="T54"/>
      <c r="U54"/>
      <c r="V54"/>
      <c r="W54"/>
      <c r="X54"/>
    </row>
    <row r="55" spans="1:24" s="21" customFormat="1" ht="12.75">
      <c r="A55" s="101" t="str">
        <f>IF(OR(TipoOrçamento="BASE",TipoOrçamento="REPROGRAMADONPL"),"Título:","Cargo:")</f>
        <v>Cargo:</v>
      </c>
      <c r="B55" s="280"/>
      <c r="C55" s="281"/>
      <c r="D55" s="281"/>
      <c r="E55" s="281"/>
      <c r="F55" s="33"/>
      <c r="G55" s="101" t="str">
        <f>A55</f>
        <v>Cargo:</v>
      </c>
      <c r="H55" s="281"/>
      <c r="I55" s="281"/>
      <c r="J55" s="281"/>
      <c r="K55" s="281"/>
      <c r="L55" s="2"/>
      <c r="M55"/>
      <c r="N55"/>
      <c r="O55"/>
      <c r="P55"/>
      <c r="Q55"/>
      <c r="R55"/>
      <c r="S55"/>
      <c r="T55"/>
      <c r="U55"/>
      <c r="V55"/>
      <c r="W55"/>
      <c r="X55"/>
    </row>
    <row r="56" spans="1:24" s="21" customFormat="1" ht="12.75">
      <c r="A56" s="101" t="str">
        <f>IF(OR(TipoOrçamento="BASE",TipoOrçamento="REPROGRAMADONPL"),"CREA/CAU:","Empresa:")</f>
        <v>Empresa:</v>
      </c>
      <c r="B56" s="261"/>
      <c r="C56" s="262"/>
      <c r="D56" s="262"/>
      <c r="E56" s="262"/>
      <c r="F56" s="33"/>
      <c r="G56" s="101" t="str">
        <f>A56</f>
        <v>Empresa:</v>
      </c>
      <c r="H56" s="262"/>
      <c r="I56" s="262"/>
      <c r="J56" s="262"/>
      <c r="K56" s="262"/>
      <c r="L56" s="2"/>
      <c r="M56"/>
      <c r="N56"/>
      <c r="O56"/>
      <c r="P56"/>
      <c r="Q56"/>
      <c r="R56"/>
      <c r="S56"/>
      <c r="T56"/>
      <c r="U56"/>
      <c r="V56"/>
      <c r="W56"/>
      <c r="X56"/>
    </row>
    <row r="57" spans="1:24" s="21" customFormat="1" ht="12.75">
      <c r="A57" s="101" t="str">
        <f>IF(OR(TipoOrçamento="BASE",TipoOrçamento="REPROGRAMADONPL"),"ART/RRT:","CNPJ:")</f>
        <v>CNPJ:</v>
      </c>
      <c r="B57" s="261"/>
      <c r="C57" s="262"/>
      <c r="D57" s="262"/>
      <c r="E57" s="262"/>
      <c r="F57" s="33"/>
      <c r="G57" s="101" t="str">
        <f>A57</f>
        <v>CNPJ:</v>
      </c>
      <c r="H57" s="262"/>
      <c r="I57" s="262"/>
      <c r="J57" s="262"/>
      <c r="K57" s="262"/>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40" t="s">
        <v>195</v>
      </c>
      <c r="B60" s="240"/>
      <c r="C60" s="241"/>
      <c r="D60" s="241"/>
      <c r="E60" s="241"/>
      <c r="F60" s="241"/>
      <c r="G60" s="241"/>
      <c r="H60" s="241"/>
      <c r="I60" s="241"/>
      <c r="J60" s="241"/>
      <c r="K60" s="241"/>
      <c r="L60" s="241"/>
      <c r="M60" s="241"/>
      <c r="N60" s="241"/>
      <c r="O60" s="241"/>
      <c r="P60" s="241"/>
      <c r="Q60" s="241"/>
      <c r="R60" s="241"/>
      <c r="S60" s="241"/>
      <c r="T60" s="241"/>
      <c r="U60" s="241"/>
      <c r="V60" s="241"/>
      <c r="W60" s="241"/>
      <c r="X60" s="241"/>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46" t="s">
        <v>196</v>
      </c>
      <c r="B62" s="247"/>
      <c r="C62" s="248"/>
      <c r="D62" s="248"/>
      <c r="E62" s="248"/>
      <c r="F62" s="248"/>
      <c r="G62" s="248"/>
      <c r="H62" s="248"/>
      <c r="I62" s="248"/>
      <c r="J62" s="248"/>
      <c r="K62" s="248"/>
      <c r="L62" s="248"/>
      <c r="M62" s="248"/>
      <c r="N62" s="248"/>
      <c r="O62" s="248"/>
      <c r="P62" s="248"/>
      <c r="Q62" s="248"/>
      <c r="R62" s="248"/>
      <c r="S62" s="248"/>
      <c r="T62" s="248"/>
      <c r="U62" s="248"/>
      <c r="V62" s="248"/>
      <c r="W62" s="248"/>
      <c r="X62" s="248"/>
    </row>
    <row r="63" spans="1:24" s="21" customFormat="1" ht="30" customHeight="1">
      <c r="A63" s="246" t="s">
        <v>197</v>
      </c>
      <c r="B63" s="246"/>
      <c r="C63" s="292"/>
      <c r="D63" s="292"/>
      <c r="E63" s="292"/>
      <c r="F63" s="292"/>
      <c r="G63" s="292"/>
      <c r="H63" s="292"/>
      <c r="I63" s="292"/>
      <c r="J63" s="292"/>
      <c r="K63" s="292"/>
      <c r="L63" s="292"/>
      <c r="M63" s="292"/>
      <c r="N63" s="292"/>
      <c r="O63" s="292"/>
      <c r="P63" s="292"/>
      <c r="Q63" s="292"/>
      <c r="R63" s="292"/>
      <c r="S63" s="292"/>
      <c r="T63" s="292"/>
      <c r="U63" s="292"/>
      <c r="V63" s="292"/>
      <c r="W63" s="292"/>
      <c r="X63" s="292"/>
    </row>
    <row r="64" spans="1:24" s="21" customFormat="1" ht="12.75">
      <c r="A64" s="22"/>
      <c r="B64" s="22"/>
      <c r="F64" s="33"/>
      <c r="G64" s="34"/>
      <c r="H64" s="35"/>
      <c r="M64"/>
      <c r="N64"/>
      <c r="O64"/>
      <c r="P64"/>
      <c r="Q64"/>
      <c r="R64"/>
      <c r="S64"/>
      <c r="T64"/>
      <c r="U64"/>
      <c r="V64"/>
      <c r="W64"/>
      <c r="X64"/>
    </row>
    <row r="65" spans="1:24" s="21" customFormat="1" ht="12.75" customHeight="1">
      <c r="A65" s="240" t="s">
        <v>198</v>
      </c>
      <c r="B65" s="240"/>
      <c r="C65" s="241"/>
      <c r="D65" s="241"/>
      <c r="E65" s="241"/>
      <c r="F65" s="241"/>
      <c r="G65" s="241"/>
      <c r="H65" s="241"/>
      <c r="I65" s="241"/>
      <c r="J65" s="241"/>
      <c r="K65" s="241"/>
      <c r="L65" s="241"/>
      <c r="M65" s="241"/>
      <c r="N65" s="241"/>
      <c r="O65" s="241"/>
      <c r="P65" s="241"/>
      <c r="Q65" s="241"/>
      <c r="R65" s="241"/>
      <c r="S65" s="241"/>
      <c r="T65" s="241"/>
      <c r="U65" s="241"/>
      <c r="V65" s="241"/>
      <c r="W65" s="241"/>
      <c r="X65" s="241"/>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36" t="s">
        <v>199</v>
      </c>
      <c r="B67" s="236"/>
      <c r="C67" s="237"/>
      <c r="D67" s="237"/>
      <c r="E67" s="237"/>
      <c r="F67" s="237"/>
      <c r="G67" s="237"/>
      <c r="H67" s="237"/>
      <c r="I67" s="237"/>
      <c r="J67" s="237"/>
      <c r="K67" s="237"/>
      <c r="L67" s="237"/>
      <c r="M67" s="237"/>
      <c r="N67" s="237"/>
      <c r="O67" s="237"/>
      <c r="P67" s="237"/>
      <c r="Q67" s="237"/>
      <c r="R67" s="237"/>
      <c r="S67" s="237"/>
      <c r="T67" s="237"/>
      <c r="U67" s="237"/>
      <c r="V67" s="237"/>
      <c r="W67" s="237"/>
      <c r="X67" s="237"/>
    </row>
    <row r="68" spans="1:24" s="21" customFormat="1" ht="12.75">
      <c r="A68" s="236" t="s">
        <v>200</v>
      </c>
      <c r="B68" s="236"/>
      <c r="C68" s="237"/>
      <c r="D68" s="237"/>
      <c r="E68" s="237"/>
      <c r="F68" s="237"/>
      <c r="G68" s="237"/>
      <c r="H68" s="237"/>
      <c r="I68" s="237"/>
      <c r="J68" s="237"/>
      <c r="K68" s="237"/>
      <c r="L68" s="237"/>
      <c r="M68" s="237"/>
      <c r="N68" s="237"/>
      <c r="O68" s="237"/>
      <c r="P68" s="237"/>
      <c r="Q68" s="237"/>
      <c r="R68" s="237"/>
      <c r="S68" s="237"/>
      <c r="T68" s="237"/>
      <c r="U68" s="237"/>
      <c r="V68" s="237"/>
      <c r="W68" s="237"/>
      <c r="X68" s="237"/>
    </row>
    <row r="69" spans="1:24" s="21" customFormat="1" ht="12.75" customHeight="1">
      <c r="A69" s="236" t="s">
        <v>201</v>
      </c>
      <c r="B69" s="236"/>
      <c r="C69" s="237"/>
      <c r="D69" s="237"/>
      <c r="E69" s="237"/>
      <c r="F69" s="237"/>
      <c r="G69" s="237"/>
      <c r="H69" s="237"/>
      <c r="I69" s="237"/>
      <c r="J69" s="237"/>
      <c r="K69" s="237"/>
      <c r="L69" s="237"/>
      <c r="M69" s="237"/>
      <c r="N69" s="237"/>
      <c r="O69" s="237"/>
      <c r="P69" s="237"/>
      <c r="Q69" s="237"/>
      <c r="R69" s="237"/>
      <c r="S69" s="237"/>
      <c r="T69" s="237"/>
      <c r="U69" s="237"/>
      <c r="V69" s="237"/>
      <c r="W69" s="237"/>
      <c r="X69" s="237"/>
    </row>
    <row r="70" spans="1:24" s="21" customFormat="1" ht="12.75" customHeight="1">
      <c r="A70" s="236" t="s">
        <v>202</v>
      </c>
      <c r="B70" s="236"/>
      <c r="C70" s="237"/>
      <c r="D70" s="237"/>
      <c r="E70" s="237"/>
      <c r="F70" s="237"/>
      <c r="G70" s="237"/>
      <c r="H70" s="237"/>
      <c r="I70" s="237"/>
      <c r="J70" s="237"/>
      <c r="K70" s="237"/>
      <c r="L70" s="237"/>
      <c r="M70" s="237"/>
      <c r="N70" s="237"/>
      <c r="O70" s="237"/>
      <c r="P70" s="237"/>
      <c r="Q70" s="237"/>
      <c r="R70" s="237"/>
      <c r="S70" s="237"/>
      <c r="T70" s="237"/>
      <c r="U70" s="237"/>
      <c r="V70" s="237"/>
      <c r="W70" s="237"/>
      <c r="X70" s="237"/>
    </row>
    <row r="71" spans="1:24" s="21" customFormat="1" ht="12.75" customHeight="1">
      <c r="A71" s="236" t="s">
        <v>203</v>
      </c>
      <c r="B71" s="236"/>
      <c r="C71" s="237"/>
      <c r="D71" s="237"/>
      <c r="E71" s="237"/>
      <c r="F71" s="237"/>
      <c r="G71" s="237"/>
      <c r="H71" s="237"/>
      <c r="I71" s="237"/>
      <c r="J71" s="237"/>
      <c r="K71" s="237"/>
      <c r="L71" s="237"/>
      <c r="M71" s="237"/>
      <c r="N71" s="237"/>
      <c r="O71" s="237"/>
      <c r="P71" s="237"/>
      <c r="Q71" s="237"/>
      <c r="R71" s="237"/>
      <c r="S71" s="237"/>
      <c r="T71" s="237"/>
      <c r="U71" s="237"/>
      <c r="V71" s="237"/>
      <c r="W71" s="237"/>
      <c r="X71" s="237"/>
    </row>
    <row r="72" spans="1:24" s="21" customFormat="1" ht="12.75" customHeight="1">
      <c r="A72" s="236" t="s">
        <v>204</v>
      </c>
      <c r="B72" s="236"/>
      <c r="C72" s="237"/>
      <c r="D72" s="237"/>
      <c r="E72" s="237"/>
      <c r="F72" s="237"/>
      <c r="G72" s="237"/>
      <c r="H72" s="237"/>
      <c r="I72" s="237"/>
      <c r="J72" s="237"/>
      <c r="K72" s="237"/>
      <c r="L72" s="237"/>
      <c r="M72" s="237"/>
      <c r="N72" s="237"/>
      <c r="O72" s="237"/>
      <c r="P72" s="237"/>
      <c r="Q72" s="237"/>
      <c r="R72" s="237"/>
      <c r="S72" s="237"/>
      <c r="T72" s="237"/>
      <c r="U72" s="237"/>
      <c r="V72" s="237"/>
      <c r="W72" s="237"/>
      <c r="X72" s="237"/>
    </row>
    <row r="73" spans="1:8" s="21" customFormat="1" ht="12.75">
      <c r="A73" s="22"/>
      <c r="B73" s="22"/>
      <c r="F73" s="33"/>
      <c r="G73" s="34"/>
      <c r="H73" s="35"/>
    </row>
    <row r="74" spans="1:24" s="21" customFormat="1" ht="12.75" customHeight="1">
      <c r="A74" s="240" t="s">
        <v>205</v>
      </c>
      <c r="B74" s="240"/>
      <c r="C74" s="241"/>
      <c r="D74" s="241"/>
      <c r="E74" s="241"/>
      <c r="F74" s="241"/>
      <c r="G74" s="241"/>
      <c r="H74" s="241"/>
      <c r="I74" s="241"/>
      <c r="J74" s="241"/>
      <c r="K74" s="241"/>
      <c r="L74" s="241"/>
      <c r="M74" s="241"/>
      <c r="N74" s="241"/>
      <c r="O74" s="241"/>
      <c r="P74" s="241"/>
      <c r="Q74" s="241"/>
      <c r="R74" s="241"/>
      <c r="S74" s="241"/>
      <c r="T74" s="241"/>
      <c r="U74" s="241"/>
      <c r="V74" s="241"/>
      <c r="W74" s="241"/>
      <c r="X74" s="241"/>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36" t="s">
        <v>206</v>
      </c>
      <c r="B76" s="236"/>
      <c r="C76" s="237"/>
      <c r="D76" s="237"/>
      <c r="E76" s="237"/>
      <c r="F76" s="237"/>
      <c r="G76" s="237"/>
      <c r="H76" s="237"/>
      <c r="I76" s="237"/>
      <c r="J76" s="237"/>
      <c r="K76" s="237"/>
      <c r="L76" s="237"/>
      <c r="M76" s="237"/>
      <c r="N76" s="237"/>
      <c r="O76" s="237"/>
      <c r="P76" s="237"/>
      <c r="Q76" s="237"/>
      <c r="R76" s="237"/>
      <c r="S76" s="237"/>
      <c r="T76" s="237"/>
      <c r="U76" s="237"/>
      <c r="V76" s="237"/>
      <c r="W76" s="237"/>
      <c r="X76" s="237"/>
    </row>
    <row r="77" spans="1:24" s="21" customFormat="1" ht="25.5" customHeight="1">
      <c r="A77" s="238" t="s">
        <v>207</v>
      </c>
      <c r="B77" s="238"/>
      <c r="C77" s="239"/>
      <c r="D77" s="239"/>
      <c r="E77" s="239"/>
      <c r="F77" s="239"/>
      <c r="G77" s="239"/>
      <c r="H77" s="239"/>
      <c r="I77" s="239"/>
      <c r="J77" s="239"/>
      <c r="K77" s="239"/>
      <c r="L77" s="239"/>
      <c r="M77" s="239"/>
      <c r="N77" s="239"/>
      <c r="O77" s="239"/>
      <c r="P77" s="239"/>
      <c r="Q77" s="239"/>
      <c r="R77" s="239"/>
      <c r="S77" s="239"/>
      <c r="T77" s="239"/>
      <c r="U77" s="239"/>
      <c r="V77" s="239"/>
      <c r="W77" s="239"/>
      <c r="X77" s="239"/>
    </row>
    <row r="78" spans="1:24" s="21" customFormat="1" ht="12.75" customHeight="1">
      <c r="A78" s="236" t="s">
        <v>208</v>
      </c>
      <c r="B78" s="236"/>
      <c r="C78" s="237"/>
      <c r="D78" s="237"/>
      <c r="E78" s="237"/>
      <c r="F78" s="237"/>
      <c r="G78" s="237"/>
      <c r="H78" s="237"/>
      <c r="I78" s="237"/>
      <c r="J78" s="237"/>
      <c r="K78" s="237"/>
      <c r="L78" s="237"/>
      <c r="M78" s="237"/>
      <c r="N78" s="237"/>
      <c r="O78" s="237"/>
      <c r="P78" s="237"/>
      <c r="Q78" s="237"/>
      <c r="R78" s="237"/>
      <c r="S78" s="237"/>
      <c r="T78" s="237"/>
      <c r="U78" s="237"/>
      <c r="V78" s="237"/>
      <c r="W78" s="237"/>
      <c r="X78" s="237"/>
    </row>
    <row r="79" spans="1:24" s="21" customFormat="1" ht="25.5" customHeight="1">
      <c r="A79" s="236" t="s">
        <v>209</v>
      </c>
      <c r="B79" s="236"/>
      <c r="C79" s="237"/>
      <c r="D79" s="237"/>
      <c r="E79" s="237"/>
      <c r="F79" s="237"/>
      <c r="G79" s="237"/>
      <c r="H79" s="237"/>
      <c r="I79" s="237"/>
      <c r="J79" s="237"/>
      <c r="K79" s="237"/>
      <c r="L79" s="237"/>
      <c r="M79" s="237"/>
      <c r="N79" s="237"/>
      <c r="O79" s="237"/>
      <c r="P79" s="237"/>
      <c r="Q79" s="237"/>
      <c r="R79" s="237"/>
      <c r="S79" s="237"/>
      <c r="T79" s="237"/>
      <c r="U79" s="237"/>
      <c r="V79" s="237"/>
      <c r="W79" s="237"/>
      <c r="X79" s="237"/>
    </row>
    <row r="80" spans="1:24" s="21" customFormat="1" ht="12.75">
      <c r="A80" s="238" t="s">
        <v>210</v>
      </c>
      <c r="B80" s="238"/>
      <c r="C80" s="239"/>
      <c r="D80" s="239"/>
      <c r="E80" s="239"/>
      <c r="F80" s="239"/>
      <c r="G80" s="239"/>
      <c r="H80" s="239"/>
      <c r="I80" s="239"/>
      <c r="J80" s="239"/>
      <c r="K80" s="239"/>
      <c r="L80" s="239"/>
      <c r="M80" s="239"/>
      <c r="N80" s="239"/>
      <c r="O80" s="239"/>
      <c r="P80" s="239"/>
      <c r="Q80" s="239"/>
      <c r="R80" s="239"/>
      <c r="S80" s="239"/>
      <c r="T80" s="239"/>
      <c r="U80" s="239"/>
      <c r="V80" s="239"/>
      <c r="W80" s="239"/>
      <c r="X80" s="239"/>
    </row>
    <row r="81" spans="1:24" ht="12.75" customHeight="1">
      <c r="A81" s="236" t="s">
        <v>211</v>
      </c>
      <c r="B81" s="236"/>
      <c r="C81" s="237"/>
      <c r="D81" s="237"/>
      <c r="E81" s="237"/>
      <c r="F81" s="237"/>
      <c r="G81" s="237"/>
      <c r="H81" s="237"/>
      <c r="I81" s="237"/>
      <c r="J81" s="237"/>
      <c r="K81" s="237"/>
      <c r="L81" s="237"/>
      <c r="M81" s="237"/>
      <c r="N81" s="237"/>
      <c r="O81" s="237"/>
      <c r="P81" s="237"/>
      <c r="Q81" s="237"/>
      <c r="R81" s="237"/>
      <c r="S81" s="237"/>
      <c r="T81" s="237"/>
      <c r="U81" s="237"/>
      <c r="V81" s="237"/>
      <c r="W81" s="237"/>
      <c r="X81" s="237"/>
    </row>
    <row r="82" spans="1:24" ht="25.5" customHeight="1">
      <c r="A82" s="236" t="s">
        <v>212</v>
      </c>
      <c r="B82" s="236"/>
      <c r="C82" s="237"/>
      <c r="D82" s="237"/>
      <c r="E82" s="237"/>
      <c r="F82" s="237"/>
      <c r="G82" s="237"/>
      <c r="H82" s="237"/>
      <c r="I82" s="237"/>
      <c r="J82" s="237"/>
      <c r="K82" s="237"/>
      <c r="L82" s="237"/>
      <c r="M82" s="237"/>
      <c r="N82" s="237"/>
      <c r="O82" s="237"/>
      <c r="P82" s="237"/>
      <c r="Q82" s="237"/>
      <c r="R82" s="237"/>
      <c r="S82" s="237"/>
      <c r="T82" s="237"/>
      <c r="U82" s="237"/>
      <c r="V82" s="237"/>
      <c r="W82" s="237"/>
      <c r="X82" s="237"/>
    </row>
    <row r="83" spans="1:24" s="21" customFormat="1" ht="25.5" customHeight="1">
      <c r="A83" s="236" t="s">
        <v>213</v>
      </c>
      <c r="B83" s="236"/>
      <c r="C83" s="237"/>
      <c r="D83" s="237"/>
      <c r="E83" s="237"/>
      <c r="F83" s="237"/>
      <c r="G83" s="237"/>
      <c r="H83" s="237"/>
      <c r="I83" s="237"/>
      <c r="J83" s="237"/>
      <c r="K83" s="237"/>
      <c r="L83" s="237"/>
      <c r="M83" s="237"/>
      <c r="N83" s="237"/>
      <c r="O83" s="237"/>
      <c r="P83" s="237"/>
      <c r="Q83" s="237"/>
      <c r="R83" s="237"/>
      <c r="S83" s="237"/>
      <c r="T83" s="237"/>
      <c r="U83" s="237"/>
      <c r="V83" s="237"/>
      <c r="W83" s="237"/>
      <c r="X83" s="237"/>
    </row>
    <row r="84" spans="1:24" s="21" customFormat="1" ht="12.75" customHeight="1">
      <c r="A84" s="236" t="s">
        <v>214</v>
      </c>
      <c r="B84" s="236"/>
      <c r="C84" s="237"/>
      <c r="D84" s="237"/>
      <c r="E84" s="237"/>
      <c r="F84" s="237"/>
      <c r="G84" s="237"/>
      <c r="H84" s="237"/>
      <c r="I84" s="237"/>
      <c r="J84" s="237"/>
      <c r="K84" s="237"/>
      <c r="L84" s="237"/>
      <c r="M84" s="237"/>
      <c r="N84" s="237"/>
      <c r="O84" s="237"/>
      <c r="P84" s="237"/>
      <c r="Q84" s="237"/>
      <c r="R84" s="237"/>
      <c r="S84" s="237"/>
      <c r="T84" s="237"/>
      <c r="U84" s="237"/>
      <c r="V84" s="237"/>
      <c r="W84" s="237"/>
      <c r="X84" s="237"/>
    </row>
    <row r="85" spans="1:24" s="21" customFormat="1" ht="12.75">
      <c r="A85" s="236" t="s">
        <v>215</v>
      </c>
      <c r="B85" s="236"/>
      <c r="C85" s="237"/>
      <c r="D85" s="237"/>
      <c r="E85" s="237"/>
      <c r="F85" s="237"/>
      <c r="G85" s="237"/>
      <c r="H85" s="237"/>
      <c r="I85" s="237"/>
      <c r="J85" s="237"/>
      <c r="K85" s="237"/>
      <c r="L85" s="237"/>
      <c r="M85" s="237"/>
      <c r="N85" s="237"/>
      <c r="O85" s="237"/>
      <c r="P85" s="237"/>
      <c r="Q85" s="237"/>
      <c r="R85" s="237"/>
      <c r="S85" s="237"/>
      <c r="T85" s="237"/>
      <c r="U85" s="237"/>
      <c r="V85" s="237"/>
      <c r="W85" s="237"/>
      <c r="X85" s="237"/>
    </row>
    <row r="86" spans="1:24" ht="12.75" customHeight="1">
      <c r="A86" s="238" t="s">
        <v>216</v>
      </c>
      <c r="B86" s="238"/>
      <c r="C86" s="239"/>
      <c r="D86" s="239"/>
      <c r="E86" s="239"/>
      <c r="F86" s="239"/>
      <c r="G86" s="239"/>
      <c r="H86" s="239"/>
      <c r="I86" s="239"/>
      <c r="J86" s="239"/>
      <c r="K86" s="239"/>
      <c r="L86" s="239"/>
      <c r="M86" s="239"/>
      <c r="N86" s="239"/>
      <c r="O86" s="239"/>
      <c r="P86" s="239"/>
      <c r="Q86" s="239"/>
      <c r="R86" s="239"/>
      <c r="S86" s="239"/>
      <c r="T86" s="239"/>
      <c r="U86" s="239"/>
      <c r="V86" s="239"/>
      <c r="W86" s="239"/>
      <c r="X86" s="239"/>
    </row>
    <row r="87" spans="1:24" ht="12.75">
      <c r="A87" s="236" t="s">
        <v>217</v>
      </c>
      <c r="B87" s="236"/>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1:24" ht="12.75">
      <c r="A88" s="236" t="s">
        <v>218</v>
      </c>
      <c r="B88" s="236"/>
      <c r="C88" s="237"/>
      <c r="D88" s="237"/>
      <c r="E88" s="237"/>
      <c r="F88" s="237"/>
      <c r="G88" s="237"/>
      <c r="H88" s="237"/>
      <c r="I88" s="237"/>
      <c r="J88" s="237"/>
      <c r="K88" s="237"/>
      <c r="L88" s="237"/>
      <c r="M88" s="237"/>
      <c r="N88" s="237"/>
      <c r="O88" s="237"/>
      <c r="P88" s="237"/>
      <c r="Q88" s="237"/>
      <c r="R88" s="237"/>
      <c r="S88" s="237"/>
      <c r="T88" s="237"/>
      <c r="U88" s="237"/>
      <c r="V88" s="237"/>
      <c r="W88" s="237"/>
      <c r="X88" s="237"/>
    </row>
    <row r="90" spans="1:24" ht="12.75">
      <c r="A90" s="240" t="s">
        <v>219</v>
      </c>
      <c r="B90" s="240"/>
      <c r="C90" s="241"/>
      <c r="D90" s="241"/>
      <c r="E90" s="241"/>
      <c r="F90" s="241"/>
      <c r="G90" s="241"/>
      <c r="H90" s="241"/>
      <c r="I90" s="241"/>
      <c r="J90" s="241"/>
      <c r="K90" s="241"/>
      <c r="L90" s="241"/>
      <c r="M90" s="241"/>
      <c r="N90" s="241"/>
      <c r="O90" s="241"/>
      <c r="P90" s="241"/>
      <c r="Q90" s="241"/>
      <c r="R90" s="241"/>
      <c r="S90" s="241"/>
      <c r="T90" s="241"/>
      <c r="U90" s="241"/>
      <c r="V90" s="241"/>
      <c r="W90" s="241"/>
      <c r="X90" s="241"/>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36" t="s">
        <v>220</v>
      </c>
      <c r="B92" s="236"/>
      <c r="C92" s="237"/>
      <c r="D92" s="237"/>
      <c r="E92" s="237"/>
      <c r="F92" s="237"/>
      <c r="G92" s="237"/>
      <c r="H92" s="237"/>
      <c r="I92" s="237"/>
      <c r="J92" s="237"/>
      <c r="K92" s="237"/>
      <c r="L92" s="237"/>
      <c r="M92" s="237"/>
      <c r="N92" s="237"/>
      <c r="O92" s="237"/>
      <c r="P92" s="237"/>
      <c r="Q92" s="237"/>
      <c r="R92" s="237"/>
      <c r="S92" s="237"/>
      <c r="T92" s="237"/>
      <c r="U92" s="237"/>
      <c r="V92" s="237"/>
      <c r="W92" s="237"/>
      <c r="X92" s="237"/>
    </row>
    <row r="93" spans="1:24" ht="12.75" customHeight="1">
      <c r="A93" s="238" t="s">
        <v>221</v>
      </c>
      <c r="B93" s="238"/>
      <c r="C93" s="239"/>
      <c r="D93" s="239"/>
      <c r="E93" s="239"/>
      <c r="F93" s="239"/>
      <c r="G93" s="239"/>
      <c r="H93" s="239"/>
      <c r="I93" s="239"/>
      <c r="J93" s="239"/>
      <c r="K93" s="239"/>
      <c r="L93" s="239"/>
      <c r="M93" s="239"/>
      <c r="N93" s="239"/>
      <c r="O93" s="239"/>
      <c r="P93" s="239"/>
      <c r="Q93" s="239"/>
      <c r="R93" s="239"/>
      <c r="S93" s="239"/>
      <c r="T93" s="239"/>
      <c r="U93" s="239"/>
      <c r="V93" s="239"/>
      <c r="W93" s="239"/>
      <c r="X93" s="239"/>
    </row>
    <row r="94" spans="1:24" ht="12.75" customHeight="1">
      <c r="A94" s="236" t="s">
        <v>222</v>
      </c>
      <c r="B94" s="236"/>
      <c r="C94" s="237"/>
      <c r="D94" s="237"/>
      <c r="E94" s="237"/>
      <c r="F94" s="237"/>
      <c r="G94" s="237"/>
      <c r="H94" s="237"/>
      <c r="I94" s="237"/>
      <c r="J94" s="237"/>
      <c r="K94" s="237"/>
      <c r="L94" s="237"/>
      <c r="M94" s="237"/>
      <c r="N94" s="237"/>
      <c r="O94" s="237"/>
      <c r="P94" s="237"/>
      <c r="Q94" s="237"/>
      <c r="R94" s="237"/>
      <c r="S94" s="237"/>
      <c r="T94" s="237"/>
      <c r="U94" s="237"/>
      <c r="V94" s="237"/>
      <c r="W94" s="237"/>
      <c r="X94" s="237"/>
    </row>
    <row r="95" spans="1:24" ht="12.75">
      <c r="A95" s="236" t="s">
        <v>223</v>
      </c>
      <c r="B95" s="236"/>
      <c r="C95" s="237"/>
      <c r="D95" s="237"/>
      <c r="E95" s="237"/>
      <c r="F95" s="237"/>
      <c r="G95" s="237"/>
      <c r="H95" s="237"/>
      <c r="I95" s="237"/>
      <c r="J95" s="237"/>
      <c r="K95" s="237"/>
      <c r="L95" s="237"/>
      <c r="M95" s="237"/>
      <c r="N95" s="237"/>
      <c r="O95" s="237"/>
      <c r="P95" s="237"/>
      <c r="Q95" s="237"/>
      <c r="R95" s="237"/>
      <c r="S95" s="237"/>
      <c r="T95" s="237"/>
      <c r="U95" s="237"/>
      <c r="V95" s="237"/>
      <c r="W95" s="237"/>
      <c r="X95" s="237"/>
    </row>
    <row r="96" spans="1:24" ht="12.75" customHeight="1">
      <c r="A96" s="238"/>
      <c r="B96" s="238"/>
      <c r="C96" s="239"/>
      <c r="D96" s="239"/>
      <c r="E96" s="239"/>
      <c r="F96" s="239"/>
      <c r="G96" s="239"/>
      <c r="H96" s="239"/>
      <c r="I96" s="239"/>
      <c r="J96" s="239"/>
      <c r="K96" s="239"/>
      <c r="L96" s="239"/>
      <c r="M96" s="239"/>
      <c r="N96" s="239"/>
      <c r="O96" s="239"/>
      <c r="P96" s="239"/>
      <c r="Q96" s="239"/>
      <c r="R96" s="239"/>
      <c r="S96" s="239"/>
      <c r="T96" s="239"/>
      <c r="U96" s="239"/>
      <c r="V96" s="239"/>
      <c r="W96" s="239"/>
      <c r="X96" s="239"/>
    </row>
    <row r="97" spans="1:24" ht="12.75">
      <c r="A97" s="240" t="s">
        <v>224</v>
      </c>
      <c r="B97" s="240"/>
      <c r="C97" s="241"/>
      <c r="D97" s="241"/>
      <c r="E97" s="241"/>
      <c r="F97" s="241"/>
      <c r="G97" s="241"/>
      <c r="H97" s="241"/>
      <c r="I97" s="241"/>
      <c r="J97" s="241"/>
      <c r="K97" s="241"/>
      <c r="L97" s="241"/>
      <c r="M97" s="241"/>
      <c r="N97" s="241"/>
      <c r="O97" s="241"/>
      <c r="P97" s="241"/>
      <c r="Q97" s="241"/>
      <c r="R97" s="241"/>
      <c r="S97" s="241"/>
      <c r="T97" s="241"/>
      <c r="U97" s="241"/>
      <c r="V97" s="241"/>
      <c r="W97" s="241"/>
      <c r="X97" s="241"/>
    </row>
    <row r="98" spans="1:24" ht="12.75" customHeight="1">
      <c r="A98" s="238"/>
      <c r="B98" s="238"/>
      <c r="C98" s="239"/>
      <c r="D98" s="239"/>
      <c r="E98" s="239"/>
      <c r="F98" s="239"/>
      <c r="G98" s="239"/>
      <c r="H98" s="239"/>
      <c r="I98" s="239"/>
      <c r="J98" s="239"/>
      <c r="K98" s="239"/>
      <c r="L98" s="239"/>
      <c r="M98" s="239"/>
      <c r="N98" s="239"/>
      <c r="O98" s="239"/>
      <c r="P98" s="239"/>
      <c r="Q98" s="239"/>
      <c r="R98" s="239"/>
      <c r="S98" s="239"/>
      <c r="T98" s="239"/>
      <c r="U98" s="239"/>
      <c r="V98" s="239"/>
      <c r="W98" s="239"/>
      <c r="X98" s="239"/>
    </row>
    <row r="99" spans="1:24" ht="12.75" customHeight="1">
      <c r="A99" s="236" t="s">
        <v>225</v>
      </c>
      <c r="B99" s="236"/>
      <c r="C99" s="237"/>
      <c r="D99" s="237"/>
      <c r="E99" s="237"/>
      <c r="F99" s="237"/>
      <c r="G99" s="237"/>
      <c r="H99" s="237"/>
      <c r="I99" s="237"/>
      <c r="J99" s="237"/>
      <c r="K99" s="237"/>
      <c r="L99" s="237"/>
      <c r="M99" s="237"/>
      <c r="N99" s="237"/>
      <c r="O99" s="237"/>
      <c r="P99" s="237"/>
      <c r="Q99" s="237"/>
      <c r="R99" s="237"/>
      <c r="S99" s="237"/>
      <c r="T99" s="237"/>
      <c r="U99" s="237"/>
      <c r="V99" s="237"/>
      <c r="W99" s="237"/>
      <c r="X99" s="237"/>
    </row>
    <row r="100" spans="1:24" ht="12.75" customHeight="1">
      <c r="A100" s="236" t="s">
        <v>226</v>
      </c>
      <c r="B100" s="236"/>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row>
    <row r="101" spans="1:24" ht="12.75">
      <c r="A101" s="236" t="s">
        <v>227</v>
      </c>
      <c r="B101" s="236"/>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T38</f>
        <v>0.21</v>
      </c>
    </row>
    <row r="109" spans="1:19" ht="12.75">
      <c r="A109"/>
      <c r="E109"/>
      <c r="F109"/>
      <c r="G109" s="31"/>
      <c r="H109" s="31"/>
      <c r="L109" s="82" t="s">
        <v>133</v>
      </c>
      <c r="P109" s="31"/>
      <c r="S109" s="208">
        <f>U38</f>
      </c>
    </row>
    <row r="110" spans="1:19" ht="12.75" customHeight="1">
      <c r="A110"/>
      <c r="E110"/>
      <c r="F110"/>
      <c r="G110" s="31"/>
      <c r="H110" s="31"/>
      <c r="L110" s="82" t="s">
        <v>134</v>
      </c>
      <c r="P110" s="31"/>
      <c r="S110" s="208">
        <f>V38</f>
      </c>
    </row>
    <row r="111" spans="1:19" ht="12.75">
      <c r="A111"/>
      <c r="E111"/>
      <c r="F111"/>
      <c r="G111" s="31"/>
      <c r="H111" s="31"/>
      <c r="L111" s="82" t="s">
        <v>135</v>
      </c>
      <c r="P111" s="31"/>
      <c r="S111" s="208">
        <f>W38</f>
      </c>
    </row>
    <row r="112" spans="1:19" ht="12.75" customHeight="1">
      <c r="A112"/>
      <c r="E112"/>
      <c r="F112"/>
      <c r="G112" s="31"/>
      <c r="H112" s="31"/>
      <c r="L112" s="82" t="s">
        <v>136</v>
      </c>
      <c r="P112" s="31"/>
      <c r="S112" s="208">
        <f>X38</f>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33" t="str">
        <f>A28</f>
        <v>Nº OPERAÇÃO</v>
      </c>
      <c r="B220" s="235"/>
      <c r="C220" s="233" t="str">
        <f>C28</f>
        <v>GESTOR</v>
      </c>
      <c r="D220" s="234"/>
      <c r="E220" s="235"/>
      <c r="F220" s="233" t="str">
        <f>F28</f>
        <v>PROGRAMA</v>
      </c>
      <c r="G220" s="234"/>
      <c r="H220" s="234"/>
      <c r="I220" s="235"/>
      <c r="J220" s="233" t="str">
        <f>J28</f>
        <v>AÇÃO / MODALIDADE</v>
      </c>
      <c r="K220" s="234"/>
      <c r="L220" s="234"/>
      <c r="M220" s="234"/>
      <c r="N220" s="234"/>
      <c r="O220" s="235"/>
      <c r="P220" s="233" t="str">
        <f>P28</f>
        <v>OBJETO</v>
      </c>
      <c r="Q220" s="234"/>
      <c r="R220" s="234"/>
      <c r="S220" s="234"/>
      <c r="T220" s="234"/>
      <c r="U220" s="234"/>
      <c r="V220" s="234"/>
      <c r="W220" s="234"/>
      <c r="X220" s="235"/>
    </row>
    <row r="221" spans="1:24" ht="12.75" customHeight="1">
      <c r="A221" s="299">
        <f>IF(A29="","",A29)</f>
      </c>
      <c r="B221" s="301"/>
      <c r="C221" s="299">
        <f>IF(C29="","",C29)</f>
      </c>
      <c r="D221" s="300"/>
      <c r="E221" s="301"/>
      <c r="F221" s="299">
        <f>IF(F29="","",F29)</f>
      </c>
      <c r="G221" s="300"/>
      <c r="H221" s="300"/>
      <c r="I221" s="301"/>
      <c r="J221" s="299" t="str">
        <f>IF(J29="","",J29)</f>
        <v>REFORMA FINAL PADU</v>
      </c>
      <c r="K221" s="300"/>
      <c r="L221" s="300" t="e">
        <f>IF(#REF!="","",#REF!)</f>
        <v>#REF!</v>
      </c>
      <c r="M221" s="300"/>
      <c r="N221" s="300" t="e">
        <f>IF(#REF!="","",#REF!)</f>
        <v>#REF!</v>
      </c>
      <c r="O221" s="301"/>
      <c r="P221" s="299" t="str">
        <f>IF(P29="","",P29)</f>
        <v>REFORMA PADU</v>
      </c>
      <c r="Q221" s="300"/>
      <c r="R221" s="300"/>
      <c r="S221" s="300"/>
      <c r="T221" s="300"/>
      <c r="U221" s="300"/>
      <c r="V221" s="300"/>
      <c r="W221" s="300"/>
      <c r="X221" s="301"/>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33" t="str">
        <f>A31</f>
        <v>PROPONENTE / TOMADOR</v>
      </c>
      <c r="B223" s="234"/>
      <c r="C223" s="234"/>
      <c r="D223" s="234"/>
      <c r="E223" s="234"/>
      <c r="F223" s="234"/>
      <c r="G223" s="233" t="str">
        <f>G31</f>
        <v>MUNICÍPIO / UF</v>
      </c>
      <c r="H223" s="234"/>
      <c r="I223" s="234"/>
      <c r="J223" s="235"/>
      <c r="K223" s="233" t="str">
        <f>K31</f>
        <v>LOCALIDADE / ENDEREÇO</v>
      </c>
      <c r="L223" s="234"/>
      <c r="M223" s="234"/>
      <c r="N223" s="234"/>
      <c r="O223" s="234"/>
      <c r="P223" s="235"/>
      <c r="Q223" s="233" t="str">
        <f>Q31</f>
        <v>APELIDO DO EMPREENDIMENTO</v>
      </c>
      <c r="R223" s="234"/>
      <c r="S223" s="234"/>
      <c r="T223" s="234"/>
      <c r="U223" s="234"/>
      <c r="V223" s="234"/>
      <c r="W223" s="234"/>
      <c r="X223" s="235"/>
    </row>
    <row r="224" spans="1:24" ht="12.75" customHeight="1">
      <c r="A224" s="302" t="str">
        <f>IF(A32="","",A32)</f>
        <v>Municipio de Entre Rios do Sul</v>
      </c>
      <c r="B224" s="303"/>
      <c r="C224" s="303"/>
      <c r="D224" s="303"/>
      <c r="E224" s="303"/>
      <c r="F224" s="303"/>
      <c r="G224" s="299" t="str">
        <f>IF(G32="","",G32)</f>
        <v>Entre Rios do Sul</v>
      </c>
      <c r="H224" s="300">
        <f>IF(I32="","",I32)</f>
      </c>
      <c r="I224" s="300"/>
      <c r="J224" s="301" t="e">
        <f>IF(#REF!="","",#REF!)</f>
        <v>#REF!</v>
      </c>
      <c r="K224" s="299" t="str">
        <f>IF(K32="","",K32)</f>
        <v>Rua Rui Barbosa</v>
      </c>
      <c r="L224" s="300"/>
      <c r="M224" s="300"/>
      <c r="N224" s="300"/>
      <c r="O224" s="300"/>
      <c r="P224" s="301"/>
      <c r="Q224" s="299" t="str">
        <f>IF(Q32="","",Q32)</f>
        <v>PADU</v>
      </c>
      <c r="R224" s="300"/>
      <c r="S224" s="300"/>
      <c r="T224" s="300"/>
      <c r="U224" s="300"/>
      <c r="V224" s="300"/>
      <c r="W224" s="300"/>
      <c r="X224" s="301"/>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33" t="str">
        <f>A37</f>
        <v>DATA BASE</v>
      </c>
      <c r="B226" s="235"/>
      <c r="C226" s="135" t="str">
        <f>C37</f>
        <v>DESON.</v>
      </c>
      <c r="D226" s="233" t="str">
        <f>D37</f>
        <v>LOCALIDADE DO SINAPI</v>
      </c>
      <c r="E226" s="234"/>
      <c r="F226" s="235"/>
      <c r="G226" s="233" t="str">
        <f>G37</f>
        <v>DESCRIÇÃO DO LOTE</v>
      </c>
      <c r="H226" s="234"/>
      <c r="I226" s="234"/>
      <c r="J226" s="234"/>
      <c r="K226" s="234"/>
      <c r="L226" s="234"/>
      <c r="M226" s="234"/>
      <c r="N226" s="234"/>
      <c r="O226" s="234"/>
      <c r="P226" s="234"/>
      <c r="Q226" s="234"/>
      <c r="R226" s="234"/>
      <c r="S226" s="235"/>
      <c r="T226" s="136" t="str">
        <f>T37</f>
        <v>BDI 1</v>
      </c>
      <c r="U226" s="136" t="str">
        <f>U37</f>
        <v>BDI 2</v>
      </c>
      <c r="V226" s="136" t="str">
        <f>V37</f>
        <v>BDI 3</v>
      </c>
      <c r="W226" s="136" t="str">
        <f>W37</f>
        <v>BDI 4</v>
      </c>
      <c r="X226" s="136" t="str">
        <f>X37</f>
        <v>BDI 5</v>
      </c>
    </row>
    <row r="227" spans="1:24" ht="12.75" customHeight="1" hidden="1">
      <c r="A227" s="295">
        <f>IF(A38="","",A38)</f>
        <v>45231</v>
      </c>
      <c r="B227" s="296"/>
      <c r="C227" s="137" t="str">
        <f aca="true" t="shared" si="0" ref="C227:X227">IF(C38="","",C38)</f>
        <v>Não</v>
      </c>
      <c r="D227" s="285" t="str">
        <f t="shared" si="0"/>
        <v>Porto Alegre / RS</v>
      </c>
      <c r="E227" s="286">
        <f t="shared" si="0"/>
      </c>
      <c r="F227" s="287">
        <f t="shared" si="0"/>
      </c>
      <c r="G227" s="285" t="str">
        <f t="shared" si="0"/>
        <v>REFORMA DO PRONTO ATENDIMENTO DE URGÊNCIA DE ENTRE RIOS DO SUL</v>
      </c>
      <c r="H227" s="286">
        <f t="shared" si="0"/>
      </c>
      <c r="I227" s="286">
        <f t="shared" si="0"/>
      </c>
      <c r="J227" s="286">
        <f t="shared" si="0"/>
      </c>
      <c r="K227" s="286">
        <f t="shared" si="0"/>
      </c>
      <c r="L227" s="286">
        <f t="shared" si="0"/>
      </c>
      <c r="M227" s="286">
        <f t="shared" si="0"/>
      </c>
      <c r="N227" s="286">
        <f t="shared" si="0"/>
      </c>
      <c r="O227" s="286">
        <f t="shared" si="0"/>
      </c>
      <c r="P227" s="286">
        <f t="shared" si="0"/>
      </c>
      <c r="Q227" s="286">
        <f t="shared" si="0"/>
      </c>
      <c r="R227" s="286">
        <f t="shared" si="0"/>
      </c>
      <c r="S227" s="287">
        <f t="shared" si="0"/>
      </c>
      <c r="T227" s="139">
        <f t="shared" si="0"/>
        <v>0.21</v>
      </c>
      <c r="U227" s="96">
        <f t="shared" si="0"/>
      </c>
      <c r="V227" s="96">
        <f t="shared" si="0"/>
      </c>
      <c r="W227" s="96">
        <f t="shared" si="0"/>
      </c>
      <c r="X227" s="96">
        <f t="shared" si="0"/>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33" t="s">
        <v>87</v>
      </c>
      <c r="B229" s="235"/>
      <c r="C229" s="233" t="s">
        <v>163</v>
      </c>
      <c r="D229" s="234"/>
      <c r="E229" s="234"/>
      <c r="F229" s="234"/>
      <c r="G229" s="234"/>
      <c r="H229" s="233" t="s">
        <v>16</v>
      </c>
      <c r="I229" s="234"/>
      <c r="J229" s="134" t="s">
        <v>91</v>
      </c>
      <c r="K229" s="233" t="s">
        <v>88</v>
      </c>
      <c r="L229" s="234"/>
      <c r="M229" s="235"/>
      <c r="N229" s="134" t="s">
        <v>92</v>
      </c>
      <c r="O229" s="233" t="s">
        <v>93</v>
      </c>
      <c r="P229" s="234"/>
      <c r="Q229" s="234"/>
      <c r="R229" s="234"/>
      <c r="S229" s="234"/>
      <c r="T229" s="235"/>
      <c r="U229" s="293" t="s">
        <v>89</v>
      </c>
      <c r="V229" s="294"/>
      <c r="W229" s="293" t="s">
        <v>90</v>
      </c>
      <c r="X229" s="294"/>
    </row>
    <row r="230" spans="1:24" s="21" customFormat="1" ht="12.75" customHeight="1">
      <c r="A230" s="285">
        <f>IF(A43="","",A43)</f>
      </c>
      <c r="B230" s="287"/>
      <c r="C230" s="285">
        <f>IF(C43="","",C43)</f>
      </c>
      <c r="D230" s="286"/>
      <c r="E230" s="286">
        <f>IF(E43="","",E43)</f>
      </c>
      <c r="F230" s="286"/>
      <c r="G230" s="286">
        <f>IF(G43="","",G43)</f>
      </c>
      <c r="H230" s="297">
        <f>IF(H43="","",H43)</f>
      </c>
      <c r="I230" s="298">
        <f>IF(I43="","",I43)</f>
      </c>
      <c r="J230" s="138">
        <f>IF(J43="","",J43)</f>
      </c>
      <c r="K230" s="306">
        <f>IF(K43="","",K43)</f>
      </c>
      <c r="L230" s="307"/>
      <c r="M230" s="308">
        <f>IF(M43="","",M43)</f>
      </c>
      <c r="N230" s="140">
        <f>IF(N43="","",N43)</f>
      </c>
      <c r="O230" s="306">
        <f>IF(O43="","",O43)</f>
      </c>
      <c r="P230" s="309"/>
      <c r="Q230" s="309">
        <f>IF(Q43="","",Q43)</f>
      </c>
      <c r="R230" s="307"/>
      <c r="S230" s="307">
        <f>IF(S43="","",S43)</f>
      </c>
      <c r="T230" s="308"/>
      <c r="U230" s="304">
        <f>IF(U43="","",U43)</f>
      </c>
      <c r="V230" s="305"/>
      <c r="W230" s="310">
        <f>IF(W43="","",W43)</f>
      </c>
      <c r="X230" s="311"/>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password="C95B"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J29:O29"/>
    <mergeCell ref="B54:E54"/>
    <mergeCell ref="A65:X65"/>
    <mergeCell ref="H55:K55"/>
    <mergeCell ref="A45:X45"/>
    <mergeCell ref="A63:X63"/>
    <mergeCell ref="A50:X50"/>
    <mergeCell ref="B55:E55"/>
    <mergeCell ref="B57:E57"/>
    <mergeCell ref="H54:K54"/>
    <mergeCell ref="A67:X67"/>
    <mergeCell ref="A88:X88"/>
    <mergeCell ref="K43:M43"/>
    <mergeCell ref="A68:X68"/>
    <mergeCell ref="A78:X78"/>
    <mergeCell ref="A71:X71"/>
    <mergeCell ref="A72:X72"/>
    <mergeCell ref="B1:X2"/>
    <mergeCell ref="H56:K56"/>
    <mergeCell ref="W42:X42"/>
    <mergeCell ref="A37:B37"/>
    <mergeCell ref="A42:B42"/>
    <mergeCell ref="W43:X43"/>
    <mergeCell ref="O43:T43"/>
    <mergeCell ref="C43:G43"/>
    <mergeCell ref="K42:M42"/>
    <mergeCell ref="U43:V43"/>
    <mergeCell ref="A100:X100"/>
    <mergeCell ref="A74:X74"/>
    <mergeCell ref="A81:X81"/>
    <mergeCell ref="A90:X90"/>
    <mergeCell ref="A93:X93"/>
    <mergeCell ref="A94:X94"/>
    <mergeCell ref="A92:X92"/>
    <mergeCell ref="A76:X76"/>
    <mergeCell ref="A84:X84"/>
    <mergeCell ref="A77:X77"/>
    <mergeCell ref="A79:X79"/>
    <mergeCell ref="A82:X82"/>
    <mergeCell ref="A101:X101"/>
    <mergeCell ref="A95:X95"/>
    <mergeCell ref="A96:X96"/>
    <mergeCell ref="A38:B38"/>
    <mergeCell ref="U42:V42"/>
    <mergeCell ref="A70:X70"/>
    <mergeCell ref="A40:X40"/>
    <mergeCell ref="G38:S38"/>
    <mergeCell ref="A86:X86"/>
    <mergeCell ref="A35:X35"/>
    <mergeCell ref="D38:F38"/>
    <mergeCell ref="C42:G42"/>
    <mergeCell ref="H42:I42"/>
    <mergeCell ref="B56:E56"/>
    <mergeCell ref="G37:S37"/>
    <mergeCell ref="O42:T42"/>
    <mergeCell ref="D37:F37"/>
    <mergeCell ref="A43:B43"/>
    <mergeCell ref="A4:X4"/>
    <mergeCell ref="A6:X6"/>
    <mergeCell ref="A8:X8"/>
    <mergeCell ref="A24:X24"/>
    <mergeCell ref="A14:X14"/>
    <mergeCell ref="A10:X10"/>
    <mergeCell ref="A12:X12"/>
    <mergeCell ref="A16:X16"/>
    <mergeCell ref="A18:X18"/>
    <mergeCell ref="A22:I22"/>
    <mergeCell ref="J220:O220"/>
    <mergeCell ref="A99:X99"/>
    <mergeCell ref="A98:X98"/>
    <mergeCell ref="A97:X97"/>
    <mergeCell ref="A26:X26"/>
    <mergeCell ref="A28:B28"/>
    <mergeCell ref="A29:B29"/>
    <mergeCell ref="A69:X69"/>
    <mergeCell ref="A60:X60"/>
    <mergeCell ref="A62:X62"/>
  </mergeCells>
  <conditionalFormatting sqref="B54:E55 B56 B57:E57">
    <cfRule type="expression" priority="42" dxfId="4" stopIfTrue="1">
      <formula>$B54&lt;&gt;""</formula>
    </cfRule>
  </conditionalFormatting>
  <conditionalFormatting sqref="A48 H54:K54 H55:H56 H57:K57 A29:C29 J29 F29 A32 P29 G32 K32">
    <cfRule type="expression" priority="48" dxfId="4" stopIfTrue="1">
      <formula>A29&lt;&gt;""</formula>
    </cfRule>
  </conditionalFormatting>
  <conditionalFormatting sqref="G53:K54 G55:H56 G57:K57">
    <cfRule type="expression" priority="43" dxfId="650" stopIfTrue="1">
      <formula>$K$52&lt;&gt;"SIM"</formula>
    </cfRule>
  </conditionalFormatting>
  <conditionalFormatting sqref="A40:X43">
    <cfRule type="expression" priority="56" dxfId="68" stopIfTrue="1">
      <formula>OR(TipoOrçamento="BASE",TipoOrçamento="REPROGRAMADONPL")</formula>
    </cfRule>
    <cfRule type="expression" priority="57" dxfId="4" stopIfTrue="1">
      <formula>A40&lt;&gt;""</formula>
    </cfRule>
  </conditionalFormatting>
  <conditionalFormatting sqref="A35:X38">
    <cfRule type="expression" priority="58" dxfId="68" stopIfTrue="1">
      <formula>OR(TipoOrçamento="LICITADO",TipoOrçamento="REPROGRAMADOAC")</formula>
    </cfRule>
    <cfRule type="expression" priority="59" dxfId="4" stopIfTrue="1">
      <formula>A35&lt;&gt;""</formula>
    </cfRule>
  </conditionalFormatting>
  <conditionalFormatting sqref="Q32">
    <cfRule type="expression" priority="1" dxfId="4"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10;Formato 0.000.000-00/0000." sqref="A29:B29"/>
  </dataValidations>
  <printOptions/>
  <pageMargins left="0.78740157480315" right="0.78740157480315" top="0.78740157480315" bottom="0.78740157480315" header="5.70866141732284" footer="0.590551181102362"/>
  <pageSetup fitToHeight="1" fitToWidth="1" orientation="portrait" paperSize="9" scale="41"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sheetPr codeName="Plan4">
    <tabColor rgb="FFFFFF00"/>
    <pageSetUpPr fitToPage="1"/>
  </sheetPr>
  <dimension ref="A1:AE60"/>
  <sheetViews>
    <sheetView showGridLines="0" zoomScaleSheetLayoutView="100" zoomScalePageLayoutView="70" workbookViewId="0" topLeftCell="I1">
      <selection activeCell="U9" sqref="U9"/>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2" t="s">
        <v>150</v>
      </c>
      <c r="J4" s="243"/>
      <c r="K4" s="242" t="s">
        <v>173</v>
      </c>
      <c r="L4" s="260"/>
      <c r="M4" s="260"/>
      <c r="N4" s="260"/>
      <c r="O4" s="260"/>
      <c r="P4" s="260"/>
      <c r="Q4" s="260"/>
      <c r="R4" s="243"/>
    </row>
    <row r="5" spans="1:19" ht="12.75" customHeight="1">
      <c r="A5" s="52" t="str">
        <f>A4</f>
        <v>Construção e Reforma de Edifícios</v>
      </c>
      <c r="B5" s="54" t="s">
        <v>32</v>
      </c>
      <c r="C5" s="52" t="str">
        <f t="shared" si="0"/>
        <v>Construção e Reforma de Edifícios-DF</v>
      </c>
      <c r="E5" s="55">
        <v>0.0059</v>
      </c>
      <c r="F5" s="55">
        <v>0.0123</v>
      </c>
      <c r="G5" s="55">
        <v>0.0139</v>
      </c>
      <c r="I5" s="331">
        <f>DADOS!A29</f>
        <v>0</v>
      </c>
      <c r="J5" s="332"/>
      <c r="K5" s="333" t="str">
        <f>DADOS!A32</f>
        <v>Municipio de Entre Rios do Sul</v>
      </c>
      <c r="L5" s="334"/>
      <c r="M5" s="334"/>
      <c r="N5" s="334"/>
      <c r="O5" s="334"/>
      <c r="P5" s="334"/>
      <c r="Q5" s="334"/>
      <c r="R5" s="335"/>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2" t="s">
        <v>0</v>
      </c>
      <c r="J7" s="260"/>
      <c r="K7" s="260"/>
      <c r="L7" s="260"/>
      <c r="M7" s="260"/>
      <c r="N7" s="260"/>
      <c r="O7" s="260"/>
      <c r="P7" s="260"/>
      <c r="Q7" s="260"/>
      <c r="R7" s="243"/>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36" t="str">
        <f>DADOS!P29</f>
        <v>REFORMA PADU</v>
      </c>
      <c r="J8" s="336"/>
      <c r="K8" s="336"/>
      <c r="L8" s="336"/>
      <c r="M8" s="336"/>
      <c r="N8" s="336"/>
      <c r="O8" s="336"/>
      <c r="P8" s="336"/>
      <c r="Q8" s="336"/>
      <c r="R8" s="336"/>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2" t="s">
        <v>35</v>
      </c>
      <c r="J10" s="260"/>
      <c r="K10" s="260"/>
      <c r="L10" s="260"/>
      <c r="M10" s="260"/>
      <c r="N10" s="260"/>
      <c r="O10" s="260"/>
      <c r="P10" s="260"/>
      <c r="Q10" s="242" t="s">
        <v>13</v>
      </c>
      <c r="R10" s="243"/>
    </row>
    <row r="11" spans="1:18" ht="12.75">
      <c r="A11" s="52" t="s">
        <v>34</v>
      </c>
      <c r="B11" s="54" t="s">
        <v>32</v>
      </c>
      <c r="C11" s="52" t="str">
        <f t="shared" si="0"/>
        <v>Construção de Praças Urbanas, Rodovias, Ferrovias e recapeamento e pavimentação de vias urbanas-DF</v>
      </c>
      <c r="E11" s="55">
        <v>0.0102</v>
      </c>
      <c r="F11" s="55">
        <v>0.0111</v>
      </c>
      <c r="G11" s="55">
        <v>0.0121</v>
      </c>
      <c r="I11" s="326" t="s">
        <v>28</v>
      </c>
      <c r="J11" s="327"/>
      <c r="K11" s="327"/>
      <c r="L11" s="327"/>
      <c r="M11" s="327"/>
      <c r="N11" s="327"/>
      <c r="O11" s="327"/>
      <c r="P11" s="328"/>
      <c r="Q11" s="329" t="str">
        <f>DADOS!$C$38</f>
        <v>Não</v>
      </c>
      <c r="R11" s="330"/>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38" t="s">
        <v>36</v>
      </c>
      <c r="J13" s="338"/>
      <c r="K13" s="338"/>
      <c r="L13" s="338"/>
      <c r="M13" s="338"/>
      <c r="N13" s="338"/>
      <c r="O13" s="338"/>
      <c r="P13" s="338"/>
      <c r="Q13" s="347">
        <v>1</v>
      </c>
      <c r="R13" s="347"/>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48" t="s">
        <v>38</v>
      </c>
      <c r="J14" s="348"/>
      <c r="K14" s="348"/>
      <c r="L14" s="348"/>
      <c r="M14" s="348"/>
      <c r="N14" s="348"/>
      <c r="O14" s="348"/>
      <c r="P14" s="348"/>
      <c r="Q14" s="347">
        <v>0.02</v>
      </c>
      <c r="R14" s="347"/>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37" t="s">
        <v>39</v>
      </c>
      <c r="J16" s="337"/>
      <c r="K16" s="337"/>
      <c r="L16" s="337"/>
      <c r="M16" s="337" t="s">
        <v>40</v>
      </c>
      <c r="N16" s="340" t="s">
        <v>41</v>
      </c>
      <c r="O16" s="340" t="s">
        <v>42</v>
      </c>
      <c r="P16" s="339" t="s">
        <v>43</v>
      </c>
      <c r="Q16" s="339" t="s">
        <v>44</v>
      </c>
      <c r="R16" s="314" t="s">
        <v>45</v>
      </c>
      <c r="T16" s="323">
        <f>IF(V27,"Para BDI fora do intervalo estatístico, deve ser apresentado Relatório Técnico Circunstanciado justificando a adoção do percentual de cada parcela do BDI.","")</f>
      </c>
      <c r="U16" s="323"/>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37"/>
      <c r="J17" s="337"/>
      <c r="K17" s="337"/>
      <c r="L17" s="337"/>
      <c r="M17" s="337"/>
      <c r="N17" s="340"/>
      <c r="O17" s="340"/>
      <c r="P17" s="339"/>
      <c r="Q17" s="339"/>
      <c r="R17" s="314"/>
      <c r="T17" s="323"/>
      <c r="U17" s="323"/>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18" t="str">
        <f>IF($I$11=$A$59,"Encargos Sociais incidentes sobre a mão de obra","Administração Central")</f>
        <v>Administração Central</v>
      </c>
      <c r="J18" s="318"/>
      <c r="K18" s="318"/>
      <c r="L18" s="318"/>
      <c r="M18" s="60" t="str">
        <f>IF($I$11=$A$59,"K1","AC")</f>
        <v>AC</v>
      </c>
      <c r="N18" s="61">
        <v>0.04</v>
      </c>
      <c r="O18" s="62" t="s">
        <v>46</v>
      </c>
      <c r="P18" s="63">
        <f>VLOOKUP(CONCATENATE(I$11,"-",M18),$C$2:$G$49,3,FALSE)</f>
        <v>0.03</v>
      </c>
      <c r="Q18" s="63">
        <f>VLOOKUP(CONCATENATE(I$11,"-",M18),$C$2:$G$49,4,FALSE)</f>
        <v>0.04</v>
      </c>
      <c r="R18" s="63">
        <f>VLOOKUP(CONCATENATE(I$11,"-",M18),$C$2:$G$49,5,FALSE)</f>
        <v>0.055</v>
      </c>
      <c r="T18" s="323"/>
      <c r="U18" s="323"/>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18" t="str">
        <f>IF($I$11=$A$59,"Administração Central da empresa ou consultoria - overhead","Seguro e Garantia")</f>
        <v>Seguro e Garantia</v>
      </c>
      <c r="J19" s="318"/>
      <c r="K19" s="318"/>
      <c r="L19" s="318"/>
      <c r="M19" s="60" t="str">
        <f>IF($I$11=$A$59,"K2","SG")</f>
        <v>SG</v>
      </c>
      <c r="N19" s="61">
        <v>0.008</v>
      </c>
      <c r="O19" s="62" t="s">
        <v>46</v>
      </c>
      <c r="P19" s="63">
        <f>VLOOKUP(CONCATENATE(I$11,"-",M19),$C$2:$G$49,3,FALSE)</f>
        <v>0.008</v>
      </c>
      <c r="Q19" s="63">
        <f>VLOOKUP(CONCATENATE(I$11,"-",M19),$C$2:$G$49,4,FALSE)</f>
        <v>0.008</v>
      </c>
      <c r="R19" s="63">
        <f>VLOOKUP(CONCATENATE(I$11,"-",M19),$C$2:$G$49,5,FALSE)</f>
        <v>0.01</v>
      </c>
      <c r="T19" s="323"/>
      <c r="U19" s="323"/>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18" t="str">
        <f>IF($I$11=$A$59,"","Risco")</f>
        <v>Risco</v>
      </c>
      <c r="J20" s="318"/>
      <c r="K20" s="318"/>
      <c r="L20" s="318"/>
      <c r="M20" s="60" t="str">
        <f>IF($I$11=$A$59,"","R")</f>
        <v>R</v>
      </c>
      <c r="N20" s="61">
        <v>0.0127</v>
      </c>
      <c r="O20" s="62" t="s">
        <v>46</v>
      </c>
      <c r="P20" s="63">
        <f>VLOOKUP(CONCATENATE(I$11,"-",M20),$C$2:$G$49,3,FALSE)</f>
        <v>0.0097</v>
      </c>
      <c r="Q20" s="63">
        <f>VLOOKUP(CONCATENATE(I$11,"-",M20),$C$2:$G$49,4,FALSE)</f>
        <v>0.0127</v>
      </c>
      <c r="R20" s="63">
        <f>VLOOKUP(CONCATENATE(I$11,"-",M20),$C$2:$G$49,5,FALSE)</f>
        <v>0.0127</v>
      </c>
      <c r="T20" s="323"/>
      <c r="U20" s="323"/>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18" t="str">
        <f>IF($I$11=$A$59,"","Despesas Financeiras")</f>
        <v>Despesas Financeiras</v>
      </c>
      <c r="J21" s="318"/>
      <c r="K21" s="318"/>
      <c r="L21" s="318"/>
      <c r="M21" s="60" t="str">
        <f>IF($I$11=$A$59,"","DF")</f>
        <v>DF</v>
      </c>
      <c r="N21" s="61">
        <v>0.0059</v>
      </c>
      <c r="O21" s="62" t="s">
        <v>46</v>
      </c>
      <c r="P21" s="63">
        <f>VLOOKUP(CONCATENATE(I$11,"-",M21),$C$2:$G$49,3,FALSE)</f>
        <v>0.0059</v>
      </c>
      <c r="Q21" s="63">
        <f>VLOOKUP(CONCATENATE(I$11,"-",M21),$C$2:$G$49,4,FALSE)</f>
        <v>0.0123</v>
      </c>
      <c r="R21" s="63">
        <f>VLOOKUP(CONCATENATE(I$11,"-",M21),$C$2:$G$49,5,FALSE)</f>
        <v>0.0139</v>
      </c>
      <c r="T21" s="323"/>
      <c r="U21" s="323"/>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18" t="str">
        <f>IF($I$11=$A$59,"Margem bruta da empresa de consultoria","Lucro")</f>
        <v>Lucro</v>
      </c>
      <c r="J22" s="318"/>
      <c r="K22" s="318"/>
      <c r="L22" s="318"/>
      <c r="M22" s="60" t="str">
        <f>IF($I$11=$A$59,"K3","L")</f>
        <v>L</v>
      </c>
      <c r="N22" s="61">
        <v>0.07</v>
      </c>
      <c r="O22" s="62" t="s">
        <v>46</v>
      </c>
      <c r="P22" s="63">
        <f>VLOOKUP(CONCATENATE(I$11,"-",M22),$C$2:$G$49,3,FALSE)</f>
        <v>0.0616</v>
      </c>
      <c r="Q22" s="63">
        <f>VLOOKUP(CONCATENATE(I$11,"-",M22),$C$2:$G$49,4,FALSE)</f>
        <v>0.07400000000000001</v>
      </c>
      <c r="R22" s="63">
        <f>VLOOKUP(CONCATENATE(I$11,"-",M22),$C$2:$G$49,5,FALSE)</f>
        <v>0.08960000000000001</v>
      </c>
      <c r="T22" s="323"/>
      <c r="U22" s="323"/>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25" t="s">
        <v>48</v>
      </c>
      <c r="J23" s="325"/>
      <c r="K23" s="325"/>
      <c r="L23" s="325"/>
      <c r="M23" s="60" t="s">
        <v>49</v>
      </c>
      <c r="N23" s="61">
        <v>0.0365</v>
      </c>
      <c r="O23" s="62" t="s">
        <v>46</v>
      </c>
      <c r="P23" s="63">
        <v>0.0365</v>
      </c>
      <c r="Q23" s="63">
        <v>0.0365</v>
      </c>
      <c r="R23" s="63">
        <v>0.0365</v>
      </c>
      <c r="T23" s="323"/>
      <c r="U23" s="323"/>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18" t="s">
        <v>50</v>
      </c>
      <c r="J24" s="318"/>
      <c r="K24" s="318"/>
      <c r="L24" s="318"/>
      <c r="M24" s="60" t="s">
        <v>51</v>
      </c>
      <c r="N24" s="63">
        <f>IF($I$11&lt;&gt;$A$58,Q14*Q13,0)</f>
        <v>0.02</v>
      </c>
      <c r="O24" s="62" t="s">
        <v>46</v>
      </c>
      <c r="P24" s="63">
        <v>0</v>
      </c>
      <c r="Q24" s="63">
        <v>0.025</v>
      </c>
      <c r="R24" s="63">
        <v>0.05</v>
      </c>
      <c r="T24" s="323"/>
      <c r="U24" s="323"/>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18" t="s">
        <v>116</v>
      </c>
      <c r="J25" s="318"/>
      <c r="K25" s="318"/>
      <c r="L25" s="318"/>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18" t="s">
        <v>53</v>
      </c>
      <c r="J26" s="318"/>
      <c r="K26" s="318"/>
      <c r="L26" s="318"/>
      <c r="M26" s="65" t="s">
        <v>33</v>
      </c>
      <c r="N26" s="63">
        <f>IF($I$11=$A$58,0,ROUND((((1+N18+N19+N20)*(1+N21)*(1+N22)/(1-(N23+N24)))-1),4))</f>
        <v>0.21</v>
      </c>
      <c r="O26" s="106"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19" t="s">
        <v>55</v>
      </c>
      <c r="J27" s="319"/>
      <c r="K27" s="319"/>
      <c r="L27" s="319"/>
      <c r="M27" s="66" t="s">
        <v>56</v>
      </c>
      <c r="N27" s="67">
        <f>IF($I$11=$A$58,0,ROUND((((1+N18+N19+N20)*(1+N21)*(1+N22)/(1-(N23+N24+N25)))-1),4))</f>
        <v>0.21</v>
      </c>
      <c r="O27" s="110">
        <f>IF(Q11&lt;&gt;"Sim","",O26)</f>
      </c>
      <c r="P27" s="320"/>
      <c r="Q27" s="320"/>
      <c r="R27" s="320"/>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17" t="s">
        <v>117</v>
      </c>
      <c r="K29" s="317"/>
      <c r="L29" s="317"/>
      <c r="M29" s="317"/>
      <c r="N29" s="317"/>
      <c r="O29" s="317"/>
      <c r="P29" s="317"/>
      <c r="Q29" s="317"/>
      <c r="R29" s="317"/>
      <c r="V29" s="111" t="b">
        <v>0</v>
      </c>
      <c r="W29" s="52" t="s">
        <v>119</v>
      </c>
    </row>
    <row r="30" spans="2:22" ht="7.5" customHeight="1">
      <c r="B30" s="54"/>
      <c r="E30" s="55"/>
      <c r="F30" s="55"/>
      <c r="G30" s="55"/>
      <c r="V30" s="111"/>
    </row>
    <row r="31" spans="2:18" ht="18.75" customHeight="1">
      <c r="B31" s="54"/>
      <c r="E31" s="55"/>
      <c r="F31" s="55"/>
      <c r="G31" s="55"/>
      <c r="I31" s="322" t="s">
        <v>61</v>
      </c>
      <c r="J31" s="322"/>
      <c r="K31" s="322"/>
      <c r="L31" s="322"/>
      <c r="M31" s="322"/>
      <c r="N31" s="322"/>
      <c r="O31" s="322"/>
      <c r="P31" s="322"/>
      <c r="Q31" s="322"/>
      <c r="R31" s="322"/>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46" t="str">
        <f>IF(Q11="Sim","BDI.DES =","BDI.PAD =")</f>
        <v>BDI.PAD =</v>
      </c>
      <c r="M32" s="344" t="str">
        <f>IF($I$11=$A$59,"(1+K1+K2)*(1+K3)","(1+AC + S + R + G)*(1 + DF)*(1+L)")</f>
        <v>(1+AC + S + R + G)*(1 + DF)*(1+L)</v>
      </c>
      <c r="N32" s="344"/>
      <c r="O32" s="344"/>
      <c r="P32" s="342"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46"/>
      <c r="M33" s="345" t="str">
        <f>IF(Q11="Sim","(1-CP-ISS-CRPB)","(1-CP-ISS)")</f>
        <v>(1-CP-ISS)</v>
      </c>
      <c r="N33" s="345"/>
      <c r="O33" s="345"/>
      <c r="P33" s="343"/>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15"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2%.</v>
      </c>
      <c r="J35" s="315"/>
      <c r="K35" s="315"/>
      <c r="L35" s="315"/>
      <c r="M35" s="315"/>
      <c r="N35" s="315"/>
      <c r="O35" s="315"/>
      <c r="P35" s="315"/>
      <c r="Q35" s="315"/>
      <c r="R35" s="315"/>
    </row>
    <row r="36" spans="2:7" ht="11.25" customHeight="1">
      <c r="B36" s="59"/>
      <c r="E36" s="55"/>
      <c r="F36" s="55"/>
      <c r="G36" s="55"/>
    </row>
    <row r="37" spans="2:18" ht="52.5" customHeight="1">
      <c r="B37" s="59"/>
      <c r="E37" s="55"/>
      <c r="F37" s="55"/>
      <c r="G37" s="55"/>
      <c r="I37" s="315"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15"/>
      <c r="K37" s="315"/>
      <c r="L37" s="315"/>
      <c r="M37" s="315"/>
      <c r="N37" s="315"/>
      <c r="O37" s="315"/>
      <c r="P37" s="315"/>
      <c r="Q37" s="315"/>
      <c r="R37" s="315"/>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50"/>
      <c r="J40" s="351"/>
      <c r="K40" s="351"/>
      <c r="L40" s="351"/>
      <c r="M40" s="351"/>
      <c r="N40" s="351"/>
      <c r="O40" s="351"/>
      <c r="P40" s="351"/>
      <c r="Q40" s="351"/>
      <c r="R40" s="352"/>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24" t="str">
        <f>PO!K178</f>
        <v>Entre Rios do Sul</v>
      </c>
      <c r="J42" s="324"/>
      <c r="K42" s="324"/>
      <c r="L42" s="324"/>
      <c r="O42" s="349" t="str">
        <f>PO!K181</f>
        <v>29 de janeiro de 2024</v>
      </c>
      <c r="P42" s="349"/>
      <c r="Q42" s="349"/>
      <c r="R42" s="349"/>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41" t="s">
        <v>120</v>
      </c>
      <c r="J43" s="341"/>
      <c r="K43" s="341"/>
      <c r="L43" s="341"/>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53" t="s">
        <v>57</v>
      </c>
      <c r="J46" s="353"/>
      <c r="K46" s="353"/>
      <c r="L46" s="353"/>
      <c r="M46" s="70"/>
      <c r="N46" s="70"/>
      <c r="O46" s="353" t="s">
        <v>58</v>
      </c>
      <c r="P46" s="353"/>
      <c r="Q46" s="353"/>
      <c r="R46" s="353"/>
    </row>
    <row r="47" spans="1:18" ht="14.25">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6">
        <f>DADOS!B54</f>
        <v>0</v>
      </c>
      <c r="K47" s="316"/>
      <c r="L47" s="316"/>
      <c r="M47" s="71"/>
      <c r="N47" s="71"/>
      <c r="O47" s="29" t="s">
        <v>140</v>
      </c>
      <c r="P47" s="354" t="s">
        <v>341</v>
      </c>
      <c r="Q47" s="354"/>
      <c r="R47" s="354"/>
    </row>
    <row r="48" spans="1:18" ht="14.25">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6">
        <f>DADOS!B55</f>
        <v>0</v>
      </c>
      <c r="K48" s="316"/>
      <c r="L48" s="316"/>
      <c r="M48" s="71"/>
      <c r="N48" s="71"/>
      <c r="O48" s="29" t="s">
        <v>60</v>
      </c>
      <c r="P48" s="354" t="s">
        <v>332</v>
      </c>
      <c r="Q48" s="354"/>
      <c r="R48" s="354"/>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6">
        <f>DADOS!B56</f>
        <v>0</v>
      </c>
      <c r="K49" s="316"/>
      <c r="L49" s="316"/>
      <c r="M49" s="71"/>
      <c r="N49" s="71"/>
      <c r="O49" s="71"/>
      <c r="P49" s="71"/>
      <c r="Q49" s="71"/>
      <c r="R49" s="71"/>
    </row>
    <row r="50" spans="9:12" ht="12.75">
      <c r="I50" s="29" t="str">
        <f>DADOS!A57</f>
        <v>CNPJ:</v>
      </c>
      <c r="J50" s="316">
        <f>DADOS!B57</f>
        <v>0</v>
      </c>
      <c r="K50" s="316"/>
      <c r="L50" s="316"/>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4.25" hidden="1">
      <c r="A60" s="72"/>
      <c r="B60" s="71"/>
      <c r="C60" s="71"/>
      <c r="D60" s="71"/>
      <c r="E60" s="71"/>
      <c r="F60" s="71"/>
      <c r="G60" s="71"/>
    </row>
  </sheetData>
  <sheetProtection password="C95B" sheet="1" objects="1" scenarios="1"/>
  <mergeCells count="55">
    <mergeCell ref="O42:R42"/>
    <mergeCell ref="J49:L49"/>
    <mergeCell ref="I40:R40"/>
    <mergeCell ref="I46:L46"/>
    <mergeCell ref="O46:R46"/>
    <mergeCell ref="J47:L47"/>
    <mergeCell ref="P47:R47"/>
    <mergeCell ref="J48:L48"/>
    <mergeCell ref="P48:R48"/>
    <mergeCell ref="I45:L45"/>
    <mergeCell ref="I43:L43"/>
    <mergeCell ref="I10:P10"/>
    <mergeCell ref="Q10:R10"/>
    <mergeCell ref="P32:P33"/>
    <mergeCell ref="M32:O32"/>
    <mergeCell ref="M33:O33"/>
    <mergeCell ref="L32:L3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T16:U24"/>
    <mergeCell ref="I42:L42"/>
    <mergeCell ref="I18:L18"/>
    <mergeCell ref="I19:L19"/>
    <mergeCell ref="I20:L20"/>
    <mergeCell ref="I21:L21"/>
    <mergeCell ref="I22:L22"/>
    <mergeCell ref="I23:L23"/>
    <mergeCell ref="I24:L24"/>
    <mergeCell ref="I25:L25"/>
    <mergeCell ref="R16:R17"/>
    <mergeCell ref="I37:R37"/>
    <mergeCell ref="J50:L50"/>
    <mergeCell ref="J29:R29"/>
    <mergeCell ref="I26:L26"/>
    <mergeCell ref="I27:L27"/>
    <mergeCell ref="P27:R27"/>
    <mergeCell ref="O45:R45"/>
    <mergeCell ref="I31:R31"/>
    <mergeCell ref="I35:R35"/>
  </mergeCells>
  <conditionalFormatting sqref="O42">
    <cfRule type="expression" priority="6" dxfId="638" stopIfTrue="1">
      <formula>$O$42=""</formula>
    </cfRule>
  </conditionalFormatting>
  <conditionalFormatting sqref="O18:O27">
    <cfRule type="expression" priority="11" dxfId="653" stopIfTrue="1">
      <formula>AND(O18&lt;&gt;"OK",O18&lt;&gt;"-",O18&lt;&gt;"")</formula>
    </cfRule>
    <cfRule type="cellIs" priority="12" dxfId="654" operator="equal" stopIfTrue="1">
      <formula>"OK"</formula>
    </cfRule>
  </conditionalFormatting>
  <conditionalFormatting sqref="I26:N26">
    <cfRule type="expression" priority="10" dxfId="641" stopIfTrue="1">
      <formula>$Q$11="Não"</formula>
    </cfRule>
  </conditionalFormatting>
  <conditionalFormatting sqref="I27:N27">
    <cfRule type="expression" priority="9" dxfId="655" stopIfTrue="1">
      <formula>$Q$11="sim"</formula>
    </cfRule>
  </conditionalFormatting>
  <conditionalFormatting sqref="P27:R27">
    <cfRule type="expression" priority="8" dxfId="653" stopIfTrue="1">
      <formula>$Q$11="sim"</formula>
    </cfRule>
  </conditionalFormatting>
  <conditionalFormatting sqref="P47:R48">
    <cfRule type="expression" priority="7" dxfId="638" stopIfTrue="1">
      <formula>P47=""</formula>
    </cfRule>
  </conditionalFormatting>
  <conditionalFormatting sqref="I29:R29">
    <cfRule type="expression" priority="3" dxfId="637" stopIfTrue="1">
      <formula>AND(NOT($V$27),NOT($V$29))</formula>
    </cfRule>
  </conditionalFormatting>
  <conditionalFormatting sqref="P18:R26">
    <cfRule type="expression" priority="2" dxfId="636"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Plan1">
    <tabColor rgb="FFFFFF00"/>
    <pageSetUpPr fitToPage="1"/>
  </sheetPr>
  <dimension ref="A1:AA182"/>
  <sheetViews>
    <sheetView showGridLines="0" tabSelected="1" zoomScale="80" zoomScaleNormal="80" zoomScaleSheetLayoutView="100" zoomScalePageLayoutView="0" workbookViewId="0" topLeftCell="J1">
      <pane ySplit="12" topLeftCell="A82" activePane="bottomLeft" state="frozen"/>
      <selection pane="topLeft" activeCell="A1" sqref="A1"/>
      <selection pane="bottomLeft" activeCell="Y13" sqref="Y13:Y166"/>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75" customHeight="1">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5" t="s">
        <v>181</v>
      </c>
      <c r="X2" s="355"/>
      <c r="Y2" s="4"/>
      <c r="Z2" s="4"/>
      <c r="AA2" s="4"/>
    </row>
    <row r="3" spans="1:27" ht="12.75" customHeight="1">
      <c r="A3" s="4"/>
      <c r="B3" s="4"/>
      <c r="D3" s="117"/>
      <c r="F3" s="5"/>
      <c r="G3" s="4"/>
      <c r="H3" s="4"/>
      <c r="I3" s="4"/>
      <c r="J3" s="4"/>
      <c r="K3" s="4"/>
      <c r="L3" s="4"/>
      <c r="M3" s="4"/>
      <c r="N3" s="131"/>
      <c r="O3" s="4"/>
      <c r="P3" s="4"/>
      <c r="Q3" s="4"/>
      <c r="R3" s="4"/>
      <c r="S3" s="4"/>
      <c r="T3" s="4"/>
      <c r="U3" s="4"/>
      <c r="V3" s="4"/>
      <c r="W3" s="211" t="s">
        <v>148</v>
      </c>
      <c r="X3" s="214" t="b">
        <v>1</v>
      </c>
      <c r="Y3" s="4"/>
      <c r="Z3" s="4"/>
      <c r="AA3" s="4"/>
    </row>
    <row r="4" spans="1:27" ht="24.75" customHeight="1">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75" customHeight="1">
      <c r="A5" s="9">
        <f>MAX($A$12:$A$167)</f>
        <v>2</v>
      </c>
      <c r="B5" s="4"/>
      <c r="D5" s="117"/>
      <c r="F5" s="5"/>
      <c r="G5" s="4"/>
      <c r="H5" s="4"/>
      <c r="I5" s="4"/>
      <c r="J5" s="4"/>
      <c r="K5" s="4"/>
      <c r="L5" s="4"/>
      <c r="M5" s="4"/>
      <c r="N5" s="4"/>
      <c r="O5" s="4"/>
      <c r="P5" s="4"/>
      <c r="Q5" s="4"/>
      <c r="R5" s="4"/>
      <c r="S5" s="4"/>
      <c r="T5" s="4"/>
      <c r="U5" s="119" t="str">
        <f ca="1">IF(COUNTIF($U$12:OFFSET($U$167,-1,0),"DESCRIÇÃO")+COUNTIF($U$12:OFFSET($U$167,-1,0),"UNIDADE")+COUNTIF($U$12:OFFSET($U$167,-1,0),"SEM VALOR")&gt;0,"NÃO OK","OK")</f>
        <v>NÃO OK</v>
      </c>
      <c r="V5" s="212" t="s">
        <v>106</v>
      </c>
      <c r="W5" s="211" t="s">
        <v>183</v>
      </c>
      <c r="X5" s="214" t="b">
        <v>1</v>
      </c>
      <c r="Y5" s="4"/>
      <c r="Z5" s="4"/>
      <c r="AA5" s="4"/>
    </row>
    <row r="6" spans="1:27" ht="24.75" customHeight="1">
      <c r="A6" s="4"/>
      <c r="B6" s="4"/>
      <c r="D6" s="117"/>
      <c r="F6" s="5"/>
      <c r="G6" s="4"/>
      <c r="H6" s="4"/>
      <c r="I6" s="4"/>
      <c r="J6" s="4"/>
      <c r="K6" s="82"/>
      <c r="L6" s="4"/>
      <c r="M6" s="4"/>
      <c r="N6" s="4"/>
      <c r="O6" s="4"/>
      <c r="P6" s="4"/>
      <c r="Q6" s="4"/>
      <c r="R6" s="4"/>
      <c r="S6" s="4"/>
      <c r="T6" s="4"/>
      <c r="U6" s="4"/>
      <c r="V6" s="4"/>
      <c r="W6" s="211" t="s">
        <v>184</v>
      </c>
      <c r="X6" s="214" t="b">
        <v>1</v>
      </c>
      <c r="Y6" s="4"/>
      <c r="Z6" s="4"/>
      <c r="AA6" s="4"/>
    </row>
    <row r="7" spans="1:27" ht="24.75" customHeight="1">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IF(OR($A11="S",$A11=0),0,MATCH(0,OFFSET($B11,1,$A11,ROW($A$167)-ROW($A11)),0))</f>
        <v>0</v>
      </c>
      <c r="I11">
        <f ca="1">IF(OR($A11="S",$A11=0),0,MATCH(OFFSET($B11,0,$A11)+1,OFFSET($B11,1,$A11,ROW($A$167)-ROW($A11)),0))</f>
        <v>0</v>
      </c>
      <c r="J11" s="120" t="s">
        <v>103</v>
      </c>
      <c r="K11" s="162" t="e">
        <f>IF($A11=0,"-",CONCATENATE(C11&amp;".",IF(AND($A$5&gt;=2,$A11&gt;=2),D11&amp;".",""),IF(AND($A$5&gt;=3,$A11&gt;=3),E11&amp;".",""),IF(AND($A$5&gt;=4,$A11&gt;=4),F11&amp;".",""),IF($A11="S",G11&amp;".","")))</f>
        <v>#VALUE!</v>
      </c>
      <c r="L11" s="209"/>
      <c r="M11" s="209"/>
      <c r="N11" s="231">
        <f>IF($A11="S",Referencia.Descricao,"(digite a descrição aqui)")</f>
      </c>
      <c r="O11" s="230">
        <f>Referencia.Unidade</f>
      </c>
      <c r="P11" s="225">
        <f ca="1">OFFSET(PLQ!$E$12,ROW($P11)-ROW(P$12),0)</f>
        <v>0</v>
      </c>
      <c r="Q11" s="229"/>
      <c r="R11" s="232" t="s">
        <v>7</v>
      </c>
      <c r="S11" s="121">
        <f>IF($A11="S",IF($Q$10="Preço Unitário (R$)",PO.CustoUnitario,ROUND(PO.CustoUnitario*(1+$Z11),15-13*$X$6)),0)</f>
        <v>0</v>
      </c>
      <c r="T11" s="98">
        <f>IF($A11="S",VTOTAL1,IF($A11=0,0,ROUND(SomaAgrup,15-13*$X$7)))</f>
        <v>0</v>
      </c>
      <c r="U11" s="13" t="str">
        <f>IF($J11="","",IF($N11="","DESCRIÇÃO",IF(AND($J11="Serviço",$O11=""),"UNIDADE",IF($T11&lt;=0,"SEM VALOR",IF(AND($Y11&lt;&gt;"",$Q11&gt;$Y11),"ACIMA REF.","")))))</f>
        <v>DESCRIÇÃO</v>
      </c>
      <c r="V11" s="4">
        <f ca="1">IF(OR($A11=0,$A11="S",$A11&gt;CFF!$A$9),"",MAX(V$12:OFFSET(V11,-1,0))+1)</f>
      </c>
      <c r="W11" s="9" t="b">
        <f>IF(AND($J11="Serviço",$M11&lt;&gt;""),IF($L11="",$M11,CONCATENATE($L11,"-",$M11)))</f>
        <v>0</v>
      </c>
      <c r="X11" s="4" t="str">
        <f ca="1">IF(AND(Fonte&lt;&gt;"",Código&lt;&gt;""),MATCH(Fonte&amp;" "&amp;IF(Fonte="sinapi",SUBSTITUTE(SUBSTITUTE(Código,"/00","/"),"/0","/"),Código),INDIRECT("'[Referência "&amp;DATABASE&amp;".xls]Banco'!$a:$a"),0),"X")</f>
        <v>X</v>
      </c>
      <c r="Y11" s="121">
        <f>IF(Import.Desoneracao="sim",Referencia.Desonerado,Referencia.NaoDesonerado)</f>
        <v>0</v>
      </c>
      <c r="Z11" s="132">
        <f>ROUND(IF(ISNUMBER(R11),R11,IF(LEFT(R11,3)="BDI",HLOOKUP(R11,DADOS!$T$37:$X$38,2,FALSE),0)),15-11*$X$5)</f>
        <v>0.21</v>
      </c>
      <c r="AA11" s="4"/>
    </row>
    <row r="12" spans="1:27" ht="12.75">
      <c r="A12">
        <v>0</v>
      </c>
      <c r="B12">
        <f ca="1">COUNTA(OFFSET(B12,1,0):B$167)</f>
        <v>154</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SUMIF(OFFSET($J12,1,0,ROW(T167)-ROW(T12)-1),"Serviço",OFFSET(T12,1,0,ROW(T167)-ROW(T12)-1))</f>
        <v>0</v>
      </c>
      <c r="U12" s="13" t="str">
        <f>IF($N12=0,"DESCRIÇÃO","")</f>
        <v>DESCRIÇÃO</v>
      </c>
      <c r="V12" s="4">
        <v>0</v>
      </c>
      <c r="W12" s="4"/>
      <c r="X12" s="4"/>
      <c r="Y12" s="11"/>
      <c r="Z12" s="133"/>
      <c r="AA12" s="4"/>
    </row>
    <row r="13" spans="1:27" ht="12.75">
      <c r="A13">
        <f aca="true" t="shared" si="0" ref="A13:A69">CHOOSE(1+LOG(1+2*(J13="Meta")+4*(J13="Nível 2")+8*(J13="Nível 3")+16*(J13="Nível 4")+32*(J13="Serviço"),2),0,1,2,3,4,"S")</f>
        <v>1</v>
      </c>
      <c r="B13">
        <f aca="true" t="shared" si="1" ref="B13:B69">IF(OR(A13="S",A13=0),0,IF(ISERROR(I13),H13,SMALL(H13:I13,1)))</f>
        <v>14</v>
      </c>
      <c r="C13">
        <f aca="true" ca="1" t="shared" si="2" ref="C13:C69">IF($A13=1,OFFSET(C13,-1,0)+1,OFFSET(C13,-1,0))</f>
        <v>1</v>
      </c>
      <c r="D13">
        <f aca="true" ca="1" t="shared" si="3" ref="D13:D69">IF($A13=1,0,IF($A13=2,OFFSET(D13,-1,0)+1,OFFSET(D13,-1,0)))</f>
        <v>0</v>
      </c>
      <c r="E13">
        <f aca="true" ca="1" t="shared" si="4" ref="E13:E69">IF(AND($A13&lt;=2,$A13&lt;&gt;0),0,IF($A13=3,OFFSET(E13,-1,0)+1,OFFSET(E13,-1,0)))</f>
        <v>0</v>
      </c>
      <c r="F13">
        <f aca="true" ca="1" t="shared" si="5" ref="F13:F69">IF(AND($A13&lt;=3,$A13&lt;&gt;0),0,IF($A13=4,OFFSET(F13,-1,0)+1,OFFSET(F13,-1,0)))</f>
        <v>0</v>
      </c>
      <c r="G13">
        <f aca="true" ca="1" t="shared" si="6" ref="G13:G69">IF(AND($A13&lt;=4,$A13&lt;&gt;0),0,IF($A13="S",OFFSET(G13,-1,0)+1,OFFSET(G13,-1,0)))</f>
        <v>0</v>
      </c>
      <c r="H13">
        <f aca="true" ca="1" t="shared" si="7" ref="H13:H44">IF(OR($A13="S",$A13=0),0,MATCH(0,OFFSET($B13,1,$A13,ROW($A$167)-ROW($A13)),0))</f>
        <v>154</v>
      </c>
      <c r="I13">
        <f aca="true" ca="1" t="shared" si="8" ref="I13:I44">IF(OR($A13="S",$A13=0),0,MATCH(OFFSET($B13,0,$A13)+1,OFFSET($B13,1,$A13,ROW($A$167)-ROW($A13)),0))</f>
        <v>14</v>
      </c>
      <c r="J13" s="164" t="s">
        <v>99</v>
      </c>
      <c r="K13" s="162" t="str">
        <f aca="true" t="shared" si="9" ref="K13:K69">IF($A13=0,"-",CONCATENATE(C13&amp;".",IF(AND($A$5&gt;=2,$A13&gt;=2),D13&amp;".",""),IF(AND($A$5&gt;=3,$A13&gt;=3),E13&amp;".",""),IF(AND($A$5&gt;=4,$A13&gt;=4),F13&amp;".",""),IF($A13="S",G13&amp;".","")))</f>
        <v>1.</v>
      </c>
      <c r="L13" s="394"/>
      <c r="M13" s="394"/>
      <c r="N13" s="396" t="s">
        <v>231</v>
      </c>
      <c r="O13" s="397" t="s">
        <v>106</v>
      </c>
      <c r="P13" s="225">
        <f ca="1">OFFSET(PLQ!$E$12,ROW($P13)-ROW(P$12),0)</f>
        <v>0</v>
      </c>
      <c r="Q13" s="229"/>
      <c r="R13" s="232" t="s">
        <v>7</v>
      </c>
      <c r="S13" s="121">
        <f aca="true" t="shared" si="10" ref="S13:S69">IF($A13="S",IF($Q$10="Preço Unitário (R$)",PO.CustoUnitario,ROUND(PO.CustoUnitario*(1+$Z13),15-13*$X$6)),0)</f>
        <v>0</v>
      </c>
      <c r="T13" s="98">
        <f aca="true" t="shared" si="11" ref="T13:T69">IF($A13="S",VTOTAL1,IF($A13=0,0,ROUND(SomaAgrup,15-13*$X$7)))</f>
        <v>0</v>
      </c>
      <c r="U13" s="13" t="str">
        <f aca="true" t="shared" si="12" ref="U13:U69">IF($J13="","",IF($N13="","DESCRIÇÃO",IF(AND($J13="Serviço",$O13=""),"UNIDADE",IF($T13&lt;=0,"SEM VALOR",IF(AND($Y13&lt;&gt;"",$Q13&gt;$Y13),"ACIMA REF.","")))))</f>
        <v>SEM VALOR</v>
      </c>
      <c r="V13" s="4">
        <f ca="1">IF(OR($A13=0,$A13="S",$A13&gt;CFF!$A$9),"",MAX(V$12:OFFSET(V13,-1,0))+1)</f>
        <v>1</v>
      </c>
      <c r="W13" s="9" t="b">
        <f aca="true" t="shared" si="13" ref="W13:W69">IF(AND($J13="Serviço",$M13&lt;&gt;""),IF($L13="",$M13,CONCATENATE($L13,"-",$M13)))</f>
        <v>0</v>
      </c>
      <c r="X13" s="4" t="str">
        <f aca="true" ca="1" t="shared" si="14" ref="X13:X69">IF(AND(Fonte&lt;&gt;"",Código&lt;&gt;""),MATCH(Fonte&amp;" "&amp;IF(Fonte="sinapi",SUBSTITUTE(SUBSTITUTE(Código,"/00","/"),"/0","/"),Código),INDIRECT("'[Referência "&amp;DATABASE&amp;".xls]Banco'!$a:$a"),0),"X")</f>
        <v>X</v>
      </c>
      <c r="Y13" s="121">
        <v>0</v>
      </c>
      <c r="Z13" s="132">
        <f>ROUND(IF(ISNUMBER(R13),R13,IF(LEFT(R13,3)="BDI",HLOOKUP(R13,DADOS!$T$37:$X$38,2,FALSE),0)),15-11*$X$5)</f>
        <v>0.21</v>
      </c>
      <c r="AA13" s="4"/>
    </row>
    <row r="14" spans="1:27" ht="12.75">
      <c r="A14">
        <f t="shared" si="0"/>
        <v>2</v>
      </c>
      <c r="B14">
        <f t="shared" si="1"/>
        <v>5</v>
      </c>
      <c r="C14">
        <f ca="1" t="shared" si="2"/>
        <v>1</v>
      </c>
      <c r="D14">
        <f ca="1" t="shared" si="3"/>
        <v>1</v>
      </c>
      <c r="E14">
        <f ca="1" t="shared" si="4"/>
        <v>0</v>
      </c>
      <c r="F14">
        <f ca="1" t="shared" si="5"/>
        <v>0</v>
      </c>
      <c r="G14">
        <f ca="1" t="shared" si="6"/>
        <v>0</v>
      </c>
      <c r="H14">
        <f ca="1" t="shared" si="7"/>
        <v>13</v>
      </c>
      <c r="I14">
        <f ca="1" t="shared" si="8"/>
        <v>5</v>
      </c>
      <c r="J14" s="393" t="s">
        <v>100</v>
      </c>
      <c r="K14" s="162" t="str">
        <f t="shared" si="9"/>
        <v>1.1.</v>
      </c>
      <c r="L14" s="394"/>
      <c r="M14" s="394"/>
      <c r="N14" s="396" t="s">
        <v>232</v>
      </c>
      <c r="O14" s="397" t="s">
        <v>106</v>
      </c>
      <c r="P14" s="225">
        <f ca="1">OFFSET(PLQ!$E$12,ROW($P14)-ROW(P$12),0)</f>
        <v>0</v>
      </c>
      <c r="Q14" s="229"/>
      <c r="R14" s="232" t="s">
        <v>7</v>
      </c>
      <c r="S14" s="121">
        <f t="shared" si="10"/>
        <v>0</v>
      </c>
      <c r="T14" s="98">
        <f t="shared" si="11"/>
        <v>0</v>
      </c>
      <c r="U14" s="13" t="str">
        <f t="shared" si="12"/>
        <v>SEM VALOR</v>
      </c>
      <c r="V14" s="4">
        <f ca="1">IF(OR($A14=0,$A14="S",$A14&gt;CFF!$A$9),"",MAX(V$12:OFFSET(V14,-1,0))+1)</f>
        <v>2</v>
      </c>
      <c r="W14" s="9" t="b">
        <f t="shared" si="13"/>
        <v>0</v>
      </c>
      <c r="X14" s="4" t="str">
        <f ca="1" t="shared" si="14"/>
        <v>X</v>
      </c>
      <c r="Y14" s="121">
        <v>0</v>
      </c>
      <c r="Z14" s="132">
        <f>ROUND(IF(ISNUMBER(R14),R14,IF(LEFT(R14,3)="BDI",HLOOKUP(R14,DADOS!$T$37:$X$38,2,FALSE),0)),15-11*$X$5)</f>
        <v>0.21</v>
      </c>
      <c r="AA14" s="4"/>
    </row>
    <row r="15" spans="1:27" ht="12.75">
      <c r="A15" t="str">
        <f t="shared" si="0"/>
        <v>S</v>
      </c>
      <c r="B15">
        <f t="shared" si="1"/>
        <v>0</v>
      </c>
      <c r="C15">
        <f ca="1" t="shared" si="2"/>
        <v>1</v>
      </c>
      <c r="D15">
        <f ca="1" t="shared" si="3"/>
        <v>1</v>
      </c>
      <c r="E15">
        <f ca="1" t="shared" si="4"/>
        <v>0</v>
      </c>
      <c r="F15">
        <f ca="1" t="shared" si="5"/>
        <v>0</v>
      </c>
      <c r="G15">
        <f ca="1" t="shared" si="6"/>
        <v>1</v>
      </c>
      <c r="H15">
        <f ca="1" t="shared" si="7"/>
        <v>0</v>
      </c>
      <c r="I15">
        <f ca="1" t="shared" si="8"/>
        <v>0</v>
      </c>
      <c r="J15" s="393" t="s">
        <v>103</v>
      </c>
      <c r="K15" s="162" t="str">
        <f t="shared" si="9"/>
        <v>1.1.1.</v>
      </c>
      <c r="L15" s="394" t="s">
        <v>233</v>
      </c>
      <c r="M15" s="394" t="s">
        <v>234</v>
      </c>
      <c r="N15" s="396" t="s">
        <v>383</v>
      </c>
      <c r="O15" s="397" t="s">
        <v>478</v>
      </c>
      <c r="P15" s="225">
        <f ca="1">OFFSET(PLQ!$E$12,ROW($P15)-ROW(P$12),0)</f>
        <v>13.17</v>
      </c>
      <c r="Q15" s="229"/>
      <c r="R15" s="232" t="s">
        <v>7</v>
      </c>
      <c r="S15" s="121">
        <f t="shared" si="10"/>
        <v>0</v>
      </c>
      <c r="T15" s="98">
        <f t="shared" si="11"/>
        <v>0</v>
      </c>
      <c r="U15" s="13" t="str">
        <f t="shared" si="12"/>
        <v>SEM VALOR</v>
      </c>
      <c r="V15" s="4">
        <f ca="1">IF(OR($A15=0,$A15="S",$A15&gt;CFF!$A$9),"",MAX(V$12:OFFSET(V15,-1,0))+1)</f>
      </c>
      <c r="W15" s="9" t="str">
        <f t="shared" si="13"/>
        <v>SINAPI-97622</v>
      </c>
      <c r="X15" s="4">
        <f ca="1" t="shared" si="14"/>
        <v>11814</v>
      </c>
      <c r="Y15" s="121">
        <v>69.82</v>
      </c>
      <c r="Z15" s="132">
        <f>ROUND(IF(ISNUMBER(R15),R15,IF(LEFT(R15,3)="BDI",HLOOKUP(R15,DADOS!$T$37:$X$38,2,FALSE),0)),15-11*$X$5)</f>
        <v>0.21</v>
      </c>
      <c r="AA15" s="4"/>
    </row>
    <row r="16" spans="1:27" ht="12.75">
      <c r="A16" t="str">
        <f t="shared" si="0"/>
        <v>S</v>
      </c>
      <c r="B16">
        <f t="shared" si="1"/>
        <v>0</v>
      </c>
      <c r="C16">
        <f ca="1" t="shared" si="2"/>
        <v>1</v>
      </c>
      <c r="D16">
        <f ca="1" t="shared" si="3"/>
        <v>1</v>
      </c>
      <c r="E16">
        <f ca="1" t="shared" si="4"/>
        <v>0</v>
      </c>
      <c r="F16">
        <f ca="1" t="shared" si="5"/>
        <v>0</v>
      </c>
      <c r="G16">
        <f ca="1" t="shared" si="6"/>
        <v>2</v>
      </c>
      <c r="H16">
        <f ca="1" t="shared" si="7"/>
        <v>0</v>
      </c>
      <c r="I16">
        <f ca="1" t="shared" si="8"/>
        <v>0</v>
      </c>
      <c r="J16" s="393" t="s">
        <v>103</v>
      </c>
      <c r="K16" s="162" t="str">
        <f t="shared" si="9"/>
        <v>1.1.2.</v>
      </c>
      <c r="L16" s="394" t="s">
        <v>233</v>
      </c>
      <c r="M16" s="394" t="s">
        <v>235</v>
      </c>
      <c r="N16" s="396" t="s">
        <v>384</v>
      </c>
      <c r="O16" s="397" t="s">
        <v>479</v>
      </c>
      <c r="P16" s="225">
        <f ca="1">OFFSET(PLQ!$E$12,ROW($P16)-ROW(P$12),0)</f>
        <v>13.22</v>
      </c>
      <c r="Q16" s="229"/>
      <c r="R16" s="232" t="s">
        <v>7</v>
      </c>
      <c r="S16" s="121">
        <f t="shared" si="10"/>
        <v>0</v>
      </c>
      <c r="T16" s="98">
        <f t="shared" si="11"/>
        <v>0</v>
      </c>
      <c r="U16" s="13" t="str">
        <f t="shared" si="12"/>
        <v>SEM VALOR</v>
      </c>
      <c r="V16" s="4">
        <f ca="1">IF(OR($A16=0,$A16="S",$A16&gt;CFF!$A$9),"",MAX(V$12:OFFSET(V16,-1,0))+1)</f>
      </c>
      <c r="W16" s="9" t="str">
        <f t="shared" si="13"/>
        <v>SINAPI-97638</v>
      </c>
      <c r="X16" s="4">
        <f ca="1" t="shared" si="14"/>
        <v>11829</v>
      </c>
      <c r="Y16" s="121">
        <v>11</v>
      </c>
      <c r="Z16" s="132">
        <f>ROUND(IF(ISNUMBER(R16),R16,IF(LEFT(R16,3)="BDI",HLOOKUP(R16,DADOS!$T$37:$X$38,2,FALSE),0)),15-11*$X$5)</f>
        <v>0.21</v>
      </c>
      <c r="AA16" s="4"/>
    </row>
    <row r="17" spans="1:27" ht="12.75">
      <c r="A17" t="str">
        <f t="shared" si="0"/>
        <v>S</v>
      </c>
      <c r="B17">
        <f t="shared" si="1"/>
        <v>0</v>
      </c>
      <c r="C17">
        <f ca="1" t="shared" si="2"/>
        <v>1</v>
      </c>
      <c r="D17">
        <f ca="1" t="shared" si="3"/>
        <v>1</v>
      </c>
      <c r="E17">
        <f ca="1" t="shared" si="4"/>
        <v>0</v>
      </c>
      <c r="F17">
        <f ca="1" t="shared" si="5"/>
        <v>0</v>
      </c>
      <c r="G17">
        <f ca="1" t="shared" si="6"/>
        <v>3</v>
      </c>
      <c r="H17">
        <f ca="1" t="shared" si="7"/>
        <v>0</v>
      </c>
      <c r="I17">
        <f ca="1" t="shared" si="8"/>
        <v>0</v>
      </c>
      <c r="J17" s="393" t="s">
        <v>103</v>
      </c>
      <c r="K17" s="162" t="str">
        <f t="shared" si="9"/>
        <v>1.1.3.</v>
      </c>
      <c r="L17" s="394" t="s">
        <v>233</v>
      </c>
      <c r="M17" s="394" t="s">
        <v>236</v>
      </c>
      <c r="N17" s="396" t="s">
        <v>385</v>
      </c>
      <c r="O17" s="397" t="s">
        <v>478</v>
      </c>
      <c r="P17" s="225">
        <f ca="1">OFFSET(PLQ!$E$12,ROW($P17)-ROW(P$12),0)</f>
        <v>0.9</v>
      </c>
      <c r="Q17" s="229"/>
      <c r="R17" s="232" t="s">
        <v>7</v>
      </c>
      <c r="S17" s="121">
        <f t="shared" si="10"/>
        <v>0</v>
      </c>
      <c r="T17" s="98">
        <f t="shared" si="11"/>
        <v>0</v>
      </c>
      <c r="U17" s="13" t="str">
        <f t="shared" si="12"/>
        <v>SEM VALOR</v>
      </c>
      <c r="V17" s="4">
        <f ca="1">IF(OR($A17=0,$A17="S",$A17&gt;CFF!$A$9),"",MAX(V$12:OFFSET(V17,-1,0))+1)</f>
      </c>
      <c r="W17" s="9" t="str">
        <f t="shared" si="13"/>
        <v>SINAPI-97628</v>
      </c>
      <c r="X17" s="4">
        <f ca="1" t="shared" si="14"/>
        <v>11820</v>
      </c>
      <c r="Y17" s="121">
        <v>326.78</v>
      </c>
      <c r="Z17" s="132">
        <f>ROUND(IF(ISNUMBER(R17),R17,IF(LEFT(R17,3)="BDI",HLOOKUP(R17,DADOS!$T$37:$X$38,2,FALSE),0)),15-11*$X$5)</f>
        <v>0.21</v>
      </c>
      <c r="AA17" s="4"/>
    </row>
    <row r="18" spans="1:27" ht="12.75">
      <c r="A18" t="str">
        <f>CHOOSE(1+LOG(1+2*(J18="Meta")+4*(J18="Nível 2")+8*(J18="Nível 3")+16*(J18="Nível 4")+32*(J18="Serviço"),2),0,1,2,3,4,"S")</f>
        <v>S</v>
      </c>
      <c r="B18">
        <f>IF(OR(A18="S",A18=0),0,IF(ISERROR(I18),H18,SMALL(H18:I18,1)))</f>
        <v>0</v>
      </c>
      <c r="C18">
        <f ca="1">IF($A18=1,OFFSET(C18,-1,0)+1,OFFSET(C18,-1,0))</f>
        <v>1</v>
      </c>
      <c r="D18">
        <f ca="1">IF($A18=1,0,IF($A18=2,OFFSET(D18,-1,0)+1,OFFSET(D18,-1,0)))</f>
        <v>1</v>
      </c>
      <c r="E18">
        <f ca="1">IF(AND($A18&lt;=2,$A18&lt;&gt;0),0,IF($A18=3,OFFSET(E18,-1,0)+1,OFFSET(E18,-1,0)))</f>
        <v>0</v>
      </c>
      <c r="F18">
        <f ca="1">IF(AND($A18&lt;=3,$A18&lt;&gt;0),0,IF($A18=4,OFFSET(F18,-1,0)+1,OFFSET(F18,-1,0)))</f>
        <v>0</v>
      </c>
      <c r="G18">
        <f ca="1">IF(AND($A18&lt;=4,$A18&lt;&gt;0),0,IF($A18="S",OFFSET(G18,-1,0)+1,OFFSET(G18,-1,0)))</f>
        <v>4</v>
      </c>
      <c r="H18">
        <f ca="1" t="shared" si="7"/>
        <v>0</v>
      </c>
      <c r="I18">
        <f ca="1" t="shared" si="8"/>
        <v>0</v>
      </c>
      <c r="J18" s="393" t="s">
        <v>103</v>
      </c>
      <c r="K18" s="162" t="str">
        <f>IF($A18=0,"-",CONCATENATE(C18&amp;".",IF(AND($A$5&gt;=2,$A18&gt;=2),D18&amp;".",""),IF(AND($A$5&gt;=3,$A18&gt;=3),E18&amp;".",""),IF(AND($A$5&gt;=4,$A18&gt;=4),F18&amp;".",""),IF($A18="S",G18&amp;".","")))</f>
        <v>1.1.4.</v>
      </c>
      <c r="L18" s="394" t="s">
        <v>233</v>
      </c>
      <c r="M18" s="394" t="s">
        <v>243</v>
      </c>
      <c r="N18" s="396" t="s">
        <v>386</v>
      </c>
      <c r="O18" s="397" t="s">
        <v>478</v>
      </c>
      <c r="P18" s="225">
        <f ca="1">OFFSET(PLQ!$E$12,ROW($P18)-ROW(P$12),0)</f>
        <v>2.25</v>
      </c>
      <c r="Q18" s="229"/>
      <c r="R18" s="232" t="s">
        <v>7</v>
      </c>
      <c r="S18" s="121">
        <f>IF($A18="S",IF($Q$10="Preço Unitário (R$)",PO.CustoUnitario,ROUND(PO.CustoUnitario*(1+$Z18),15-13*$X$6)),0)</f>
        <v>0</v>
      </c>
      <c r="T18" s="98">
        <f>IF($A18="S",VTOTAL1,IF($A18=0,0,ROUND(SomaAgrup,15-13*$X$7)))</f>
        <v>0</v>
      </c>
      <c r="U18" s="13" t="str">
        <f>IF($J18="","",IF($N18="","DESCRIÇÃO",IF(AND($J18="Serviço",$O18=""),"UNIDADE",IF($T18&lt;=0,"SEM VALOR",IF(AND($Y18&lt;&gt;"",$Q18&gt;$Y18),"ACIMA REF.","")))))</f>
        <v>SEM VALOR</v>
      </c>
      <c r="V18" s="4">
        <f ca="1">IF(OR($A18=0,$A18="S",$A18&gt;CFF!$A$9),"",MAX(V$12:OFFSET(V18,-1,0))+1)</f>
      </c>
      <c r="W18" s="9" t="str">
        <f>IF(AND($J18="Serviço",$M18&lt;&gt;""),IF($L18="",$M18,CONCATENATE($L18,"-",$M18)))</f>
        <v>SINAPI-93358</v>
      </c>
      <c r="X18" s="4">
        <f ca="1">IF(AND(Fonte&lt;&gt;"",Código&lt;&gt;""),MATCH(Fonte&amp;" "&amp;IF(Fonte="sinapi",SUBSTITUTE(SUBSTITUTE(Código,"/00","/"),"/0","/"),Código),INDIRECT("'[Referência "&amp;DATABASE&amp;".xls]Banco'!$a:$a"),0),"X")</f>
        <v>10617</v>
      </c>
      <c r="Y18" s="121">
        <v>105.21</v>
      </c>
      <c r="Z18" s="132">
        <f>ROUND(IF(ISNUMBER(R18),R18,IF(LEFT(R18,3)="BDI",HLOOKUP(R18,DADOS!$T$37:$X$38,2,FALSE),0)),15-11*$X$5)</f>
        <v>0.21</v>
      </c>
      <c r="AA18" s="4"/>
    </row>
    <row r="19" spans="1:27" ht="12.75">
      <c r="A19">
        <f t="shared" si="0"/>
        <v>2</v>
      </c>
      <c r="B19">
        <f t="shared" si="1"/>
        <v>8</v>
      </c>
      <c r="C19">
        <f ca="1" t="shared" si="2"/>
        <v>1</v>
      </c>
      <c r="D19">
        <f ca="1" t="shared" si="3"/>
        <v>2</v>
      </c>
      <c r="E19">
        <f ca="1" t="shared" si="4"/>
        <v>0</v>
      </c>
      <c r="F19">
        <f ca="1" t="shared" si="5"/>
        <v>0</v>
      </c>
      <c r="G19">
        <f ca="1" t="shared" si="6"/>
        <v>0</v>
      </c>
      <c r="H19">
        <f ca="1" t="shared" si="7"/>
        <v>8</v>
      </c>
      <c r="I19">
        <f ca="1" t="shared" si="8"/>
        <v>17</v>
      </c>
      <c r="J19" s="393" t="s">
        <v>100</v>
      </c>
      <c r="K19" s="162" t="str">
        <f t="shared" si="9"/>
        <v>1.2.</v>
      </c>
      <c r="L19" s="394"/>
      <c r="M19" s="394"/>
      <c r="N19" s="396" t="s">
        <v>237</v>
      </c>
      <c r="O19" s="397" t="s">
        <v>106</v>
      </c>
      <c r="P19" s="225">
        <f ca="1">OFFSET(PLQ!$E$12,ROW($P19)-ROW(P$12),0)</f>
        <v>0</v>
      </c>
      <c r="Q19" s="229"/>
      <c r="R19" s="232" t="s">
        <v>7</v>
      </c>
      <c r="S19" s="121">
        <f t="shared" si="10"/>
        <v>0</v>
      </c>
      <c r="T19" s="98">
        <f t="shared" si="11"/>
        <v>0</v>
      </c>
      <c r="U19" s="13" t="str">
        <f t="shared" si="12"/>
        <v>SEM VALOR</v>
      </c>
      <c r="V19" s="4">
        <f ca="1">IF(OR($A19=0,$A19="S",$A19&gt;CFF!$A$9),"",MAX(V$12:OFFSET(V19,-1,0))+1)</f>
        <v>3</v>
      </c>
      <c r="W19" s="9" t="b">
        <f t="shared" si="13"/>
        <v>0</v>
      </c>
      <c r="X19" s="4" t="str">
        <f ca="1" t="shared" si="14"/>
        <v>X</v>
      </c>
      <c r="Y19" s="121">
        <v>0</v>
      </c>
      <c r="Z19" s="132">
        <f>ROUND(IF(ISNUMBER(R19),R19,IF(LEFT(R19,3)="BDI",HLOOKUP(R19,DADOS!$T$37:$X$38,2,FALSE),0)),15-11*$X$5)</f>
        <v>0.21</v>
      </c>
      <c r="AA19" s="4"/>
    </row>
    <row r="20" spans="1:27" ht="25.5">
      <c r="A20" t="str">
        <f t="shared" si="0"/>
        <v>S</v>
      </c>
      <c r="B20">
        <f t="shared" si="1"/>
        <v>0</v>
      </c>
      <c r="C20">
        <f ca="1" t="shared" si="2"/>
        <v>1</v>
      </c>
      <c r="D20">
        <f ca="1" t="shared" si="3"/>
        <v>2</v>
      </c>
      <c r="E20">
        <f ca="1" t="shared" si="4"/>
        <v>0</v>
      </c>
      <c r="F20">
        <f ca="1" t="shared" si="5"/>
        <v>0</v>
      </c>
      <c r="G20">
        <f ca="1" t="shared" si="6"/>
        <v>1</v>
      </c>
      <c r="H20">
        <f ca="1" t="shared" si="7"/>
        <v>0</v>
      </c>
      <c r="I20">
        <f ca="1" t="shared" si="8"/>
        <v>0</v>
      </c>
      <c r="J20" s="393" t="s">
        <v>103</v>
      </c>
      <c r="K20" s="162" t="str">
        <f t="shared" si="9"/>
        <v>1.2.1.</v>
      </c>
      <c r="L20" s="394" t="s">
        <v>233</v>
      </c>
      <c r="M20" s="394" t="s">
        <v>238</v>
      </c>
      <c r="N20" s="396" t="s">
        <v>387</v>
      </c>
      <c r="O20" s="397" t="s">
        <v>480</v>
      </c>
      <c r="P20" s="225">
        <f ca="1">OFFSET(PLQ!$E$12,ROW($P20)-ROW(P$12),0)</f>
        <v>100</v>
      </c>
      <c r="Q20" s="229"/>
      <c r="R20" s="232" t="s">
        <v>7</v>
      </c>
      <c r="S20" s="121">
        <f t="shared" si="10"/>
        <v>0</v>
      </c>
      <c r="T20" s="98">
        <f t="shared" si="11"/>
        <v>0</v>
      </c>
      <c r="U20" s="13" t="str">
        <f t="shared" si="12"/>
        <v>SEM VALOR</v>
      </c>
      <c r="V20" s="4">
        <f ca="1">IF(OR($A20=0,$A20="S",$A20&gt;CFF!$A$9),"",MAX(V$12:OFFSET(V20,-1,0))+1)</f>
      </c>
      <c r="W20" s="9" t="str">
        <f t="shared" si="13"/>
        <v>SINAPI-104792</v>
      </c>
      <c r="X20" s="4">
        <f ca="1" t="shared" si="14"/>
        <v>11860</v>
      </c>
      <c r="Y20" s="121">
        <v>0.48</v>
      </c>
      <c r="Z20" s="132">
        <f>ROUND(IF(ISNUMBER(R20),R20,IF(LEFT(R20,3)="BDI",HLOOKUP(R20,DADOS!$T$37:$X$38,2,FALSE),0)),15-11*$X$5)</f>
        <v>0.21</v>
      </c>
      <c r="AA20" s="4"/>
    </row>
    <row r="21" spans="1:27" ht="12.75">
      <c r="A21" t="str">
        <f t="shared" si="0"/>
        <v>S</v>
      </c>
      <c r="B21">
        <f t="shared" si="1"/>
        <v>0</v>
      </c>
      <c r="C21">
        <f ca="1" t="shared" si="2"/>
        <v>1</v>
      </c>
      <c r="D21">
        <f ca="1" t="shared" si="3"/>
        <v>2</v>
      </c>
      <c r="E21">
        <f ca="1" t="shared" si="4"/>
        <v>0</v>
      </c>
      <c r="F21">
        <f ca="1" t="shared" si="5"/>
        <v>0</v>
      </c>
      <c r="G21">
        <f ca="1" t="shared" si="6"/>
        <v>2</v>
      </c>
      <c r="H21">
        <f ca="1" t="shared" si="7"/>
        <v>0</v>
      </c>
      <c r="I21">
        <f ca="1" t="shared" si="8"/>
        <v>0</v>
      </c>
      <c r="J21" s="393" t="s">
        <v>103</v>
      </c>
      <c r="K21" s="162" t="str">
        <f t="shared" si="9"/>
        <v>1.2.2.</v>
      </c>
      <c r="L21" s="394" t="s">
        <v>233</v>
      </c>
      <c r="M21" s="394" t="s">
        <v>239</v>
      </c>
      <c r="N21" s="396" t="s">
        <v>388</v>
      </c>
      <c r="O21" s="397" t="s">
        <v>481</v>
      </c>
      <c r="P21" s="225">
        <f ca="1">OFFSET(PLQ!$E$12,ROW($P21)-ROW(P$12),0)</f>
        <v>10</v>
      </c>
      <c r="Q21" s="229"/>
      <c r="R21" s="232" t="s">
        <v>7</v>
      </c>
      <c r="S21" s="121">
        <f t="shared" si="10"/>
        <v>0</v>
      </c>
      <c r="T21" s="98">
        <f t="shared" si="11"/>
        <v>0</v>
      </c>
      <c r="U21" s="13" t="str">
        <f t="shared" si="12"/>
        <v>SEM VALOR</v>
      </c>
      <c r="V21" s="4">
        <f ca="1">IF(OR($A21=0,$A21="S",$A21&gt;CFF!$A$9),"",MAX(V$12:OFFSET(V21,-1,0))+1)</f>
      </c>
      <c r="W21" s="9" t="str">
        <f t="shared" si="13"/>
        <v>SINAPI-97665</v>
      </c>
      <c r="X21" s="4">
        <f ca="1" t="shared" si="14"/>
        <v>11855</v>
      </c>
      <c r="Y21" s="121">
        <v>2.24</v>
      </c>
      <c r="Z21" s="132">
        <f>ROUND(IF(ISNUMBER(R21),R21,IF(LEFT(R21,3)="BDI",HLOOKUP(R21,DADOS!$T$37:$X$38,2,FALSE),0)),15-11*$X$5)</f>
        <v>0.21</v>
      </c>
      <c r="AA21" s="4"/>
    </row>
    <row r="22" spans="1:27" ht="12.75">
      <c r="A22" t="str">
        <f t="shared" si="0"/>
        <v>S</v>
      </c>
      <c r="B22">
        <f t="shared" si="1"/>
        <v>0</v>
      </c>
      <c r="C22">
        <f ca="1" t="shared" si="2"/>
        <v>1</v>
      </c>
      <c r="D22">
        <f ca="1" t="shared" si="3"/>
        <v>2</v>
      </c>
      <c r="E22">
        <f ca="1" t="shared" si="4"/>
        <v>0</v>
      </c>
      <c r="F22">
        <f ca="1" t="shared" si="5"/>
        <v>0</v>
      </c>
      <c r="G22">
        <f ca="1" t="shared" si="6"/>
        <v>3</v>
      </c>
      <c r="H22">
        <f ca="1" t="shared" si="7"/>
        <v>0</v>
      </c>
      <c r="I22">
        <f ca="1" t="shared" si="8"/>
        <v>0</v>
      </c>
      <c r="J22" s="393" t="s">
        <v>103</v>
      </c>
      <c r="K22" s="162" t="str">
        <f t="shared" si="9"/>
        <v>1.2.3.</v>
      </c>
      <c r="L22" s="394" t="s">
        <v>233</v>
      </c>
      <c r="M22" s="394" t="s">
        <v>240</v>
      </c>
      <c r="N22" s="396" t="s">
        <v>389</v>
      </c>
      <c r="O22" s="397" t="s">
        <v>481</v>
      </c>
      <c r="P22" s="225">
        <f ca="1">OFFSET(PLQ!$E$12,ROW($P22)-ROW(P$12),0)</f>
        <v>8</v>
      </c>
      <c r="Q22" s="229"/>
      <c r="R22" s="232" t="s">
        <v>7</v>
      </c>
      <c r="S22" s="121">
        <f t="shared" si="10"/>
        <v>0</v>
      </c>
      <c r="T22" s="98">
        <f t="shared" si="11"/>
        <v>0</v>
      </c>
      <c r="U22" s="13" t="str">
        <f t="shared" si="12"/>
        <v>SEM VALOR</v>
      </c>
      <c r="V22" s="4">
        <f ca="1">IF(OR($A22=0,$A22="S",$A22&gt;CFF!$A$9),"",MAX(V$12:OFFSET(V22,-1,0))+1)</f>
      </c>
      <c r="W22" s="9" t="str">
        <f t="shared" si="13"/>
        <v>SINAPI-97666</v>
      </c>
      <c r="X22" s="4">
        <f ca="1" t="shared" si="14"/>
        <v>11856</v>
      </c>
      <c r="Y22" s="121">
        <v>11.56</v>
      </c>
      <c r="Z22" s="132">
        <f>ROUND(IF(ISNUMBER(R22),R22,IF(LEFT(R22,3)="BDI",HLOOKUP(R22,DADOS!$T$37:$X$38,2,FALSE),0)),15-11*$X$5)</f>
        <v>0.21</v>
      </c>
      <c r="AA22" s="4"/>
    </row>
    <row r="23" spans="1:27" ht="12.75">
      <c r="A23" t="str">
        <f t="shared" si="0"/>
        <v>S</v>
      </c>
      <c r="B23">
        <f t="shared" si="1"/>
        <v>0</v>
      </c>
      <c r="C23">
        <f ca="1" t="shared" si="2"/>
        <v>1</v>
      </c>
      <c r="D23">
        <f ca="1" t="shared" si="3"/>
        <v>2</v>
      </c>
      <c r="E23">
        <f ca="1" t="shared" si="4"/>
        <v>0</v>
      </c>
      <c r="F23">
        <f ca="1" t="shared" si="5"/>
        <v>0</v>
      </c>
      <c r="G23">
        <f ca="1" t="shared" si="6"/>
        <v>4</v>
      </c>
      <c r="H23">
        <f ca="1" t="shared" si="7"/>
        <v>0</v>
      </c>
      <c r="I23">
        <f ca="1" t="shared" si="8"/>
        <v>0</v>
      </c>
      <c r="J23" s="393" t="s">
        <v>103</v>
      </c>
      <c r="K23" s="162" t="str">
        <f t="shared" si="9"/>
        <v>1.2.4.</v>
      </c>
      <c r="L23" s="394" t="s">
        <v>233</v>
      </c>
      <c r="M23" s="394" t="s">
        <v>241</v>
      </c>
      <c r="N23" s="396" t="s">
        <v>390</v>
      </c>
      <c r="O23" s="397" t="s">
        <v>479</v>
      </c>
      <c r="P23" s="225">
        <f ca="1">OFFSET(PLQ!$E$12,ROW($P23)-ROW(P$12),0)</f>
        <v>16.8</v>
      </c>
      <c r="Q23" s="229"/>
      <c r="R23" s="232" t="s">
        <v>7</v>
      </c>
      <c r="S23" s="121">
        <f t="shared" si="10"/>
        <v>0</v>
      </c>
      <c r="T23" s="98">
        <f t="shared" si="11"/>
        <v>0</v>
      </c>
      <c r="U23" s="13" t="str">
        <f t="shared" si="12"/>
        <v>SEM VALOR</v>
      </c>
      <c r="V23" s="4">
        <f ca="1">IF(OR($A23=0,$A23="S",$A23&gt;CFF!$A$9),"",MAX(V$12:OFFSET(V23,-1,0))+1)</f>
      </c>
      <c r="W23" s="9" t="str">
        <f t="shared" si="13"/>
        <v>SINAPI-97644</v>
      </c>
      <c r="X23" s="4">
        <f ca="1" t="shared" si="14"/>
        <v>11835</v>
      </c>
      <c r="Y23" s="121">
        <v>11.68</v>
      </c>
      <c r="Z23" s="132">
        <f>ROUND(IF(ISNUMBER(R23),R23,IF(LEFT(R23,3)="BDI",HLOOKUP(R23,DADOS!$T$37:$X$38,2,FALSE),0)),15-11*$X$5)</f>
        <v>0.21</v>
      </c>
      <c r="AA23" s="4"/>
    </row>
    <row r="24" spans="1:27" ht="12.75">
      <c r="A24" t="str">
        <f t="shared" si="0"/>
        <v>S</v>
      </c>
      <c r="B24">
        <f t="shared" si="1"/>
        <v>0</v>
      </c>
      <c r="C24">
        <f ca="1" t="shared" si="2"/>
        <v>1</v>
      </c>
      <c r="D24">
        <f ca="1" t="shared" si="3"/>
        <v>2</v>
      </c>
      <c r="E24">
        <f ca="1" t="shared" si="4"/>
        <v>0</v>
      </c>
      <c r="F24">
        <f ca="1" t="shared" si="5"/>
        <v>0</v>
      </c>
      <c r="G24">
        <f ca="1" t="shared" si="6"/>
        <v>5</v>
      </c>
      <c r="H24">
        <f ca="1" t="shared" si="7"/>
        <v>0</v>
      </c>
      <c r="I24">
        <f ca="1" t="shared" si="8"/>
        <v>0</v>
      </c>
      <c r="J24" s="393" t="s">
        <v>103</v>
      </c>
      <c r="K24" s="162" t="str">
        <f t="shared" si="9"/>
        <v>1.2.5.</v>
      </c>
      <c r="L24" s="394" t="s">
        <v>233</v>
      </c>
      <c r="M24" s="394" t="s">
        <v>242</v>
      </c>
      <c r="N24" s="396" t="s">
        <v>391</v>
      </c>
      <c r="O24" s="397" t="s">
        <v>479</v>
      </c>
      <c r="P24" s="225">
        <f ca="1">OFFSET(PLQ!$E$12,ROW($P24)-ROW(P$12),0)</f>
        <v>22</v>
      </c>
      <c r="Q24" s="229"/>
      <c r="R24" s="232" t="s">
        <v>7</v>
      </c>
      <c r="S24" s="121">
        <f t="shared" si="10"/>
        <v>0</v>
      </c>
      <c r="T24" s="98">
        <f t="shared" si="11"/>
        <v>0</v>
      </c>
      <c r="U24" s="13" t="str">
        <f t="shared" si="12"/>
        <v>SEM VALOR</v>
      </c>
      <c r="V24" s="4">
        <f ca="1">IF(OR($A24=0,$A24="S",$A24&gt;CFF!$A$9),"",MAX(V$12:OFFSET(V24,-1,0))+1)</f>
      </c>
      <c r="W24" s="9" t="str">
        <f t="shared" si="13"/>
        <v>SINAPI-97645</v>
      </c>
      <c r="X24" s="4">
        <f ca="1" t="shared" si="14"/>
        <v>11836</v>
      </c>
      <c r="Y24" s="121">
        <v>30.15</v>
      </c>
      <c r="Z24" s="132">
        <f>ROUND(IF(ISNUMBER(R24),R24,IF(LEFT(R24,3)="BDI",HLOOKUP(R24,DADOS!$T$37:$X$38,2,FALSE),0)),15-11*$X$5)</f>
        <v>0.21</v>
      </c>
      <c r="AA24" s="4"/>
    </row>
    <row r="25" spans="1:27" ht="25.5">
      <c r="A25" t="str">
        <f>CHOOSE(1+LOG(1+2*(J25="Meta")+4*(J25="Nível 2")+8*(J25="Nível 3")+16*(J25="Nível 4")+32*(J25="Serviço"),2),0,1,2,3,4,"S")</f>
        <v>S</v>
      </c>
      <c r="B25">
        <f>IF(OR(A25="S",A25=0),0,IF(ISERROR(I25),H25,SMALL(H25:I25,1)))</f>
        <v>0</v>
      </c>
      <c r="C25">
        <f ca="1">IF($A25=1,OFFSET(C25,-1,0)+1,OFFSET(C25,-1,0))</f>
        <v>1</v>
      </c>
      <c r="D25">
        <f ca="1">IF($A25=1,0,IF($A25=2,OFFSET(D25,-1,0)+1,OFFSET(D25,-1,0)))</f>
        <v>2</v>
      </c>
      <c r="E25">
        <f ca="1">IF(AND($A25&lt;=2,$A25&lt;&gt;0),0,IF($A25=3,OFFSET(E25,-1,0)+1,OFFSET(E25,-1,0)))</f>
        <v>0</v>
      </c>
      <c r="F25">
        <f ca="1">IF(AND($A25&lt;=3,$A25&lt;&gt;0),0,IF($A25=4,OFFSET(F25,-1,0)+1,OFFSET(F25,-1,0)))</f>
        <v>0</v>
      </c>
      <c r="G25">
        <f ca="1">IF(AND($A25&lt;=4,$A25&lt;&gt;0),0,IF($A25="S",OFFSET(G25,-1,0)+1,OFFSET(G25,-1,0)))</f>
        <v>6</v>
      </c>
      <c r="H25">
        <f ca="1" t="shared" si="7"/>
        <v>0</v>
      </c>
      <c r="I25">
        <f ca="1" t="shared" si="8"/>
        <v>0</v>
      </c>
      <c r="J25" s="393" t="s">
        <v>103</v>
      </c>
      <c r="K25" s="162" t="str">
        <f>IF($A25=0,"-",CONCATENATE(C25&amp;".",IF(AND($A$5&gt;=2,$A25&gt;=2),D25&amp;".",""),IF(AND($A$5&gt;=3,$A25&gt;=3),E25&amp;".",""),IF(AND($A$5&gt;=4,$A25&gt;=4),F25&amp;".",""),IF($A25="S",G25&amp;".","")))</f>
        <v>1.2.6.</v>
      </c>
      <c r="L25" s="394" t="s">
        <v>233</v>
      </c>
      <c r="M25" s="394" t="s">
        <v>310</v>
      </c>
      <c r="N25" s="396" t="s">
        <v>392</v>
      </c>
      <c r="O25" s="397" t="s">
        <v>479</v>
      </c>
      <c r="P25" s="225">
        <f ca="1">OFFSET(PLQ!$E$12,ROW($P25)-ROW(P$12),0)</f>
        <v>106.7</v>
      </c>
      <c r="Q25" s="229"/>
      <c r="R25" s="232" t="s">
        <v>7</v>
      </c>
      <c r="S25" s="121">
        <f>IF($A25="S",IF($Q$10="Preço Unitário (R$)",PO.CustoUnitario,ROUND(PO.CustoUnitario*(1+$Z25),15-13*$X$6)),0)</f>
        <v>0</v>
      </c>
      <c r="T25" s="98">
        <f>IF($A25="S",VTOTAL1,IF($A25=0,0,ROUND(SomaAgrup,15-13*$X$7)))</f>
        <v>0</v>
      </c>
      <c r="U25" s="13" t="str">
        <f>IF($J25="","",IF($N25="","DESCRIÇÃO",IF(AND($J25="Serviço",$O25=""),"UNIDADE",IF($T25&lt;=0,"SEM VALOR",IF(AND($Y25&lt;&gt;"",$Q25&gt;$Y25),"ACIMA REF.","")))))</f>
        <v>SEM VALOR</v>
      </c>
      <c r="V25" s="4">
        <f ca="1">IF(OR($A25=0,$A25="S",$A25&gt;CFF!$A$9),"",MAX(V$12:OFFSET(V25,-1,0))+1)</f>
      </c>
      <c r="W25" s="9" t="str">
        <f>IF(AND($J25="Serviço",$M25&lt;&gt;""),IF($L25="",$M25,CONCATENATE($L25,"-",$M25)))</f>
        <v>SINAPI-97640</v>
      </c>
      <c r="X25" s="4">
        <f ca="1">IF(AND(Fonte&lt;&gt;"",Código&lt;&gt;""),MATCH(Fonte&amp;" "&amp;IF(Fonte="sinapi",SUBSTITUTE(SUBSTITUTE(Código,"/00","/"),"/0","/"),Código),INDIRECT("'[Referência "&amp;DATABASE&amp;".xls]Banco'!$a:$a"),0),"X")</f>
        <v>11831</v>
      </c>
      <c r="Y25" s="121">
        <v>2.57</v>
      </c>
      <c r="Z25" s="132">
        <f>ROUND(IF(ISNUMBER(R25),R25,IF(LEFT(R25,3)="BDI",HLOOKUP(R25,DADOS!$T$37:$X$38,2,FALSE),0)),15-11*$X$5)</f>
        <v>0.21</v>
      </c>
      <c r="AA25" s="4"/>
    </row>
    <row r="26" spans="1:27" ht="12.75">
      <c r="A26" t="str">
        <f>CHOOSE(1+LOG(1+2*(J26="Meta")+4*(J26="Nível 2")+8*(J26="Nível 3")+16*(J26="Nível 4")+32*(J26="Serviço"),2),0,1,2,3,4,"S")</f>
        <v>S</v>
      </c>
      <c r="B26">
        <f>IF(OR(A26="S",A26=0),0,IF(ISERROR(I26),H26,SMALL(H26:I26,1)))</f>
        <v>0</v>
      </c>
      <c r="C26">
        <f ca="1">IF($A26=1,OFFSET(C26,-1,0)+1,OFFSET(C26,-1,0))</f>
        <v>1</v>
      </c>
      <c r="D26">
        <f ca="1">IF($A26=1,0,IF($A26=2,OFFSET(D26,-1,0)+1,OFFSET(D26,-1,0)))</f>
        <v>2</v>
      </c>
      <c r="E26">
        <f ca="1">IF(AND($A26&lt;=2,$A26&lt;&gt;0),0,IF($A26=3,OFFSET(E26,-1,0)+1,OFFSET(E26,-1,0)))</f>
        <v>0</v>
      </c>
      <c r="F26">
        <f ca="1">IF(AND($A26&lt;=3,$A26&lt;&gt;0),0,IF($A26=4,OFFSET(F26,-1,0)+1,OFFSET(F26,-1,0)))</f>
        <v>0</v>
      </c>
      <c r="G26">
        <f ca="1">IF(AND($A26&lt;=4,$A26&lt;&gt;0),0,IF($A26="S",OFFSET(G26,-1,0)+1,OFFSET(G26,-1,0)))</f>
        <v>7</v>
      </c>
      <c r="H26">
        <f ca="1" t="shared" si="7"/>
        <v>0</v>
      </c>
      <c r="I26">
        <f ca="1" t="shared" si="8"/>
        <v>0</v>
      </c>
      <c r="J26" s="393" t="s">
        <v>103</v>
      </c>
      <c r="K26" s="162" t="str">
        <f>IF($A26=0,"-",CONCATENATE(C26&amp;".",IF(AND($A$5&gt;=2,$A26&gt;=2),D26&amp;".",""),IF(AND($A$5&gt;=3,$A26&gt;=3),E26&amp;".",""),IF(AND($A$5&gt;=4,$A26&gt;=4),F26&amp;".",""),IF($A26="S",G26&amp;".","")))</f>
        <v>1.2.7.</v>
      </c>
      <c r="L26" s="394" t="s">
        <v>233</v>
      </c>
      <c r="M26" s="394" t="s">
        <v>352</v>
      </c>
      <c r="N26" s="396" t="s">
        <v>393</v>
      </c>
      <c r="O26" s="397" t="s">
        <v>479</v>
      </c>
      <c r="P26" s="225">
        <f ca="1">OFFSET(PLQ!$E$12,ROW($P26)-ROW(P$12),0)</f>
        <v>110.48</v>
      </c>
      <c r="Q26" s="229"/>
      <c r="R26" s="232" t="s">
        <v>7</v>
      </c>
      <c r="S26" s="121">
        <f>IF($A26="S",IF($Q$10="Preço Unitário (R$)",PO.CustoUnitario,ROUND(PO.CustoUnitario*(1+$Z26),15-13*$X$6)),0)</f>
        <v>0</v>
      </c>
      <c r="T26" s="98">
        <f>IF($A26="S",VTOTAL1,IF($A26=0,0,ROUND(SomaAgrup,15-13*$X$7)))</f>
        <v>0</v>
      </c>
      <c r="U26" s="13" t="str">
        <f>IF($J26="","",IF($N26="","DESCRIÇÃO",IF(AND($J26="Serviço",$O26=""),"UNIDADE",IF($T26&lt;=0,"SEM VALOR",IF(AND($Y26&lt;&gt;"",$Q26&gt;$Y26),"ACIMA REF.","")))))</f>
        <v>SEM VALOR</v>
      </c>
      <c r="V26" s="4">
        <f ca="1">IF(OR($A26=0,$A26="S",$A26&gt;CFF!$A$9),"",MAX(V$12:OFFSET(V26,-1,0))+1)</f>
      </c>
      <c r="W26" s="9" t="str">
        <f>IF(AND($J26="Serviço",$M26&lt;&gt;""),IF($L26="",$M26,CONCATENATE($L26,"-",$M26)))</f>
        <v>SINAPI-97633</v>
      </c>
      <c r="X26" s="4">
        <f ca="1">IF(AND(Fonte&lt;&gt;"",Código&lt;&gt;""),MATCH(Fonte&amp;" "&amp;IF(Fonte="sinapi",SUBSTITUTE(SUBSTITUTE(Código,"/00","/"),"/0","/"),Código),INDIRECT("'[Referência "&amp;DATABASE&amp;".xls]Banco'!$a:$a"),0),"X")</f>
        <v>11824</v>
      </c>
      <c r="Y26" s="121">
        <v>27.96</v>
      </c>
      <c r="Z26" s="132">
        <f>ROUND(IF(ISNUMBER(R26),R26,IF(LEFT(R26,3)="BDI",HLOOKUP(R26,DADOS!$T$37:$X$38,2,FALSE),0)),15-11*$X$5)</f>
        <v>0.21</v>
      </c>
      <c r="AA26" s="4"/>
    </row>
    <row r="27" spans="1:27" ht="12.75">
      <c r="A27">
        <f t="shared" si="0"/>
        <v>1</v>
      </c>
      <c r="B27">
        <f t="shared" si="1"/>
        <v>15</v>
      </c>
      <c r="C27">
        <f ca="1" t="shared" si="2"/>
        <v>2</v>
      </c>
      <c r="D27">
        <f ca="1" t="shared" si="3"/>
        <v>0</v>
      </c>
      <c r="E27">
        <f ca="1" t="shared" si="4"/>
        <v>0</v>
      </c>
      <c r="F27">
        <f ca="1" t="shared" si="5"/>
        <v>0</v>
      </c>
      <c r="G27">
        <f ca="1" t="shared" si="6"/>
        <v>0</v>
      </c>
      <c r="H27">
        <f ca="1" t="shared" si="7"/>
        <v>140</v>
      </c>
      <c r="I27">
        <f ca="1" t="shared" si="8"/>
        <v>15</v>
      </c>
      <c r="J27" s="393" t="s">
        <v>99</v>
      </c>
      <c r="K27" s="162" t="str">
        <f t="shared" si="9"/>
        <v>2.</v>
      </c>
      <c r="L27" s="394"/>
      <c r="M27" s="394"/>
      <c r="N27" s="396" t="s">
        <v>342</v>
      </c>
      <c r="O27" s="397" t="s">
        <v>106</v>
      </c>
      <c r="P27" s="225">
        <f ca="1">OFFSET(PLQ!$E$12,ROW($P27)-ROW(P$12),0)</f>
        <v>0</v>
      </c>
      <c r="Q27" s="229"/>
      <c r="R27" s="232" t="s">
        <v>7</v>
      </c>
      <c r="S27" s="121">
        <f t="shared" si="10"/>
        <v>0</v>
      </c>
      <c r="T27" s="98">
        <f t="shared" si="11"/>
        <v>0</v>
      </c>
      <c r="U27" s="13" t="str">
        <f t="shared" si="12"/>
        <v>SEM VALOR</v>
      </c>
      <c r="V27" s="4">
        <f ca="1">IF(OR($A27=0,$A27="S",$A27&gt;CFF!$A$9),"",MAX(V$12:OFFSET(V27,-1,0))+1)</f>
        <v>4</v>
      </c>
      <c r="W27" s="9" t="b">
        <f t="shared" si="13"/>
        <v>0</v>
      </c>
      <c r="X27" s="4" t="str">
        <f ca="1" t="shared" si="14"/>
        <v>X</v>
      </c>
      <c r="Y27" s="121">
        <v>0</v>
      </c>
      <c r="Z27" s="132">
        <f>ROUND(IF(ISNUMBER(R27),R27,IF(LEFT(R27,3)="BDI",HLOOKUP(R27,DADOS!$T$37:$X$38,2,FALSE),0)),15-11*$X$5)</f>
        <v>0.21</v>
      </c>
      <c r="AA27" s="4"/>
    </row>
    <row r="28" spans="1:27" ht="12.75">
      <c r="A28">
        <f t="shared" si="0"/>
        <v>2</v>
      </c>
      <c r="B28">
        <f t="shared" si="1"/>
        <v>2</v>
      </c>
      <c r="C28">
        <f ca="1" t="shared" si="2"/>
        <v>2</v>
      </c>
      <c r="D28">
        <f ca="1" t="shared" si="3"/>
        <v>1</v>
      </c>
      <c r="E28">
        <f ca="1" t="shared" si="4"/>
        <v>0</v>
      </c>
      <c r="F28">
        <f ca="1" t="shared" si="5"/>
        <v>0</v>
      </c>
      <c r="G28">
        <f ca="1" t="shared" si="6"/>
        <v>0</v>
      </c>
      <c r="H28">
        <f ca="1" t="shared" si="7"/>
        <v>14</v>
      </c>
      <c r="I28">
        <f ca="1" t="shared" si="8"/>
        <v>2</v>
      </c>
      <c r="J28" s="393" t="s">
        <v>100</v>
      </c>
      <c r="K28" s="162" t="str">
        <f t="shared" si="9"/>
        <v>2.1.</v>
      </c>
      <c r="L28" s="394"/>
      <c r="M28" s="394"/>
      <c r="N28" s="396" t="s">
        <v>330</v>
      </c>
      <c r="O28" s="397" t="s">
        <v>106</v>
      </c>
      <c r="P28" s="225">
        <f ca="1">OFFSET(PLQ!$E$12,ROW($P28)-ROW(P$12),0)</f>
        <v>0</v>
      </c>
      <c r="Q28" s="229"/>
      <c r="R28" s="232" t="s">
        <v>7</v>
      </c>
      <c r="S28" s="121">
        <f t="shared" si="10"/>
        <v>0</v>
      </c>
      <c r="T28" s="98">
        <f t="shared" si="11"/>
        <v>0</v>
      </c>
      <c r="U28" s="13" t="str">
        <f t="shared" si="12"/>
        <v>SEM VALOR</v>
      </c>
      <c r="V28" s="4">
        <f ca="1">IF(OR($A28=0,$A28="S",$A28&gt;CFF!$A$9),"",MAX(V$12:OFFSET(V28,-1,0))+1)</f>
        <v>5</v>
      </c>
      <c r="W28" s="9" t="b">
        <f t="shared" si="13"/>
        <v>0</v>
      </c>
      <c r="X28" s="4" t="str">
        <f ca="1" t="shared" si="14"/>
        <v>X</v>
      </c>
      <c r="Y28" s="121">
        <v>0</v>
      </c>
      <c r="Z28" s="132">
        <f>ROUND(IF(ISNUMBER(R28),R28,IF(LEFT(R28,3)="BDI",HLOOKUP(R28,DADOS!$T$37:$X$38,2,FALSE),0)),15-11*$X$5)</f>
        <v>0.21</v>
      </c>
      <c r="AA28" s="4"/>
    </row>
    <row r="29" spans="1:27" ht="25.5">
      <c r="A29" t="str">
        <f t="shared" si="0"/>
        <v>S</v>
      </c>
      <c r="B29">
        <f t="shared" si="1"/>
        <v>0</v>
      </c>
      <c r="C29">
        <f ca="1" t="shared" si="2"/>
        <v>2</v>
      </c>
      <c r="D29">
        <f ca="1" t="shared" si="3"/>
        <v>1</v>
      </c>
      <c r="E29">
        <f ca="1" t="shared" si="4"/>
        <v>0</v>
      </c>
      <c r="F29">
        <f ca="1" t="shared" si="5"/>
        <v>0</v>
      </c>
      <c r="G29">
        <f ca="1" t="shared" si="6"/>
        <v>1</v>
      </c>
      <c r="H29">
        <f ca="1" t="shared" si="7"/>
        <v>0</v>
      </c>
      <c r="I29">
        <f ca="1" t="shared" si="8"/>
        <v>0</v>
      </c>
      <c r="J29" s="393" t="s">
        <v>103</v>
      </c>
      <c r="K29" s="162" t="str">
        <f t="shared" si="9"/>
        <v>2.1.1.</v>
      </c>
      <c r="L29" s="394" t="s">
        <v>233</v>
      </c>
      <c r="M29" s="394" t="s">
        <v>329</v>
      </c>
      <c r="N29" s="396" t="s">
        <v>394</v>
      </c>
      <c r="O29" s="397" t="s">
        <v>480</v>
      </c>
      <c r="P29" s="225">
        <f ca="1">OFFSET(PLQ!$E$12,ROW($P29)-ROW(P$12),0)</f>
        <v>6</v>
      </c>
      <c r="Q29" s="229"/>
      <c r="R29" s="232" t="s">
        <v>7</v>
      </c>
      <c r="S29" s="121">
        <f t="shared" si="10"/>
        <v>0</v>
      </c>
      <c r="T29" s="98">
        <f t="shared" si="11"/>
        <v>0</v>
      </c>
      <c r="U29" s="13" t="str">
        <f t="shared" si="12"/>
        <v>SEM VALOR</v>
      </c>
      <c r="V29" s="4">
        <f ca="1">IF(OR($A29=0,$A29="S",$A29&gt;CFF!$A$9),"",MAX(V$12:OFFSET(V29,-1,0))+1)</f>
      </c>
      <c r="W29" s="9" t="str">
        <f t="shared" si="13"/>
        <v>SINAPI-101175</v>
      </c>
      <c r="X29" s="4">
        <f ca="1" t="shared" si="14"/>
        <v>7123</v>
      </c>
      <c r="Y29" s="121">
        <v>139.86</v>
      </c>
      <c r="Z29" s="132">
        <f>ROUND(IF(ISNUMBER(R29),R29,IF(LEFT(R29,3)="BDI",HLOOKUP(R29,DADOS!$T$37:$X$38,2,FALSE),0)),15-11*$X$5)</f>
        <v>0.21</v>
      </c>
      <c r="AA29" s="4"/>
    </row>
    <row r="30" spans="1:27" ht="12.75">
      <c r="A30">
        <f t="shared" si="0"/>
        <v>2</v>
      </c>
      <c r="B30">
        <f t="shared" si="1"/>
        <v>6</v>
      </c>
      <c r="C30">
        <f ca="1" t="shared" si="2"/>
        <v>2</v>
      </c>
      <c r="D30">
        <f ca="1" t="shared" si="3"/>
        <v>2</v>
      </c>
      <c r="E30">
        <f ca="1" t="shared" si="4"/>
        <v>0</v>
      </c>
      <c r="F30">
        <f ca="1" t="shared" si="5"/>
        <v>0</v>
      </c>
      <c r="G30">
        <f ca="1" t="shared" si="6"/>
        <v>0</v>
      </c>
      <c r="H30">
        <f ca="1" t="shared" si="7"/>
        <v>12</v>
      </c>
      <c r="I30">
        <f ca="1" t="shared" si="8"/>
        <v>6</v>
      </c>
      <c r="J30" s="393" t="s">
        <v>100</v>
      </c>
      <c r="K30" s="162" t="str">
        <f t="shared" si="9"/>
        <v>2.2.</v>
      </c>
      <c r="L30" s="394"/>
      <c r="M30" s="394"/>
      <c r="N30" s="396" t="s">
        <v>350</v>
      </c>
      <c r="O30" s="397" t="s">
        <v>106</v>
      </c>
      <c r="P30" s="225">
        <f ca="1">OFFSET(PLQ!$E$12,ROW($P30)-ROW(P$12),0)</f>
        <v>0</v>
      </c>
      <c r="Q30" s="229"/>
      <c r="R30" s="232" t="s">
        <v>7</v>
      </c>
      <c r="S30" s="121">
        <f t="shared" si="10"/>
        <v>0</v>
      </c>
      <c r="T30" s="98">
        <f t="shared" si="11"/>
        <v>0</v>
      </c>
      <c r="U30" s="13" t="str">
        <f t="shared" si="12"/>
        <v>SEM VALOR</v>
      </c>
      <c r="V30" s="4">
        <f ca="1">IF(OR($A30=0,$A30="S",$A30&gt;CFF!$A$9),"",MAX(V$12:OFFSET(V30,-1,0))+1)</f>
        <v>6</v>
      </c>
      <c r="W30" s="9" t="b">
        <f t="shared" si="13"/>
        <v>0</v>
      </c>
      <c r="X30" s="4" t="str">
        <f ca="1" t="shared" si="14"/>
        <v>X</v>
      </c>
      <c r="Y30" s="121">
        <v>0</v>
      </c>
      <c r="Z30" s="132">
        <f>ROUND(IF(ISNUMBER(R30),R30,IF(LEFT(R30,3)="BDI",HLOOKUP(R30,DADOS!$T$37:$X$38,2,FALSE),0)),15-11*$X$5)</f>
        <v>0.21</v>
      </c>
      <c r="AA30" s="4"/>
    </row>
    <row r="31" spans="1:27" ht="12.75">
      <c r="A31" t="str">
        <f t="shared" si="0"/>
        <v>S</v>
      </c>
      <c r="B31">
        <f t="shared" si="1"/>
        <v>0</v>
      </c>
      <c r="C31">
        <f ca="1" t="shared" si="2"/>
        <v>2</v>
      </c>
      <c r="D31">
        <f ca="1" t="shared" si="3"/>
        <v>2</v>
      </c>
      <c r="E31">
        <f ca="1" t="shared" si="4"/>
        <v>0</v>
      </c>
      <c r="F31">
        <f ca="1" t="shared" si="5"/>
        <v>0</v>
      </c>
      <c r="G31">
        <f ca="1" t="shared" si="6"/>
        <v>1</v>
      </c>
      <c r="H31">
        <f ca="1" t="shared" si="7"/>
        <v>0</v>
      </c>
      <c r="I31">
        <f ca="1" t="shared" si="8"/>
        <v>0</v>
      </c>
      <c r="J31" s="393" t="s">
        <v>103</v>
      </c>
      <c r="K31" s="162" t="str">
        <f t="shared" si="9"/>
        <v>2.2.1.</v>
      </c>
      <c r="L31" s="394" t="s">
        <v>233</v>
      </c>
      <c r="M31" s="394" t="s">
        <v>245</v>
      </c>
      <c r="N31" s="396" t="s">
        <v>395</v>
      </c>
      <c r="O31" s="397" t="s">
        <v>479</v>
      </c>
      <c r="P31" s="225">
        <f ca="1">OFFSET(PLQ!$E$12,ROW($P31)-ROW(P$12),0)</f>
        <v>10.26</v>
      </c>
      <c r="Q31" s="229"/>
      <c r="R31" s="232" t="s">
        <v>7</v>
      </c>
      <c r="S31" s="121">
        <f t="shared" si="10"/>
        <v>0</v>
      </c>
      <c r="T31" s="98">
        <f t="shared" si="11"/>
        <v>0</v>
      </c>
      <c r="U31" s="13" t="str">
        <f t="shared" si="12"/>
        <v>SEM VALOR</v>
      </c>
      <c r="V31" s="4">
        <f ca="1">IF(OR($A31=0,$A31="S",$A31&gt;CFF!$A$9),"",MAX(V$12:OFFSET(V31,-1,0))+1)</f>
      </c>
      <c r="W31" s="9" t="str">
        <f t="shared" si="13"/>
        <v>SINAPI-92270</v>
      </c>
      <c r="X31" s="4">
        <f ca="1" t="shared" si="14"/>
        <v>7173</v>
      </c>
      <c r="Y31" s="121">
        <v>146.33</v>
      </c>
      <c r="Z31" s="132">
        <f>ROUND(IF(ISNUMBER(R31),R31,IF(LEFT(R31,3)="BDI",HLOOKUP(R31,DADOS!$T$37:$X$38,2,FALSE),0)),15-11*$X$5)</f>
        <v>0.21</v>
      </c>
      <c r="AA31" s="4"/>
    </row>
    <row r="32" spans="1:27" ht="25.5">
      <c r="A32" t="str">
        <f t="shared" si="0"/>
        <v>S</v>
      </c>
      <c r="B32">
        <f t="shared" si="1"/>
        <v>0</v>
      </c>
      <c r="C32">
        <f ca="1" t="shared" si="2"/>
        <v>2</v>
      </c>
      <c r="D32">
        <f ca="1" t="shared" si="3"/>
        <v>2</v>
      </c>
      <c r="E32">
        <f ca="1" t="shared" si="4"/>
        <v>0</v>
      </c>
      <c r="F32">
        <f ca="1" t="shared" si="5"/>
        <v>0</v>
      </c>
      <c r="G32">
        <f ca="1" t="shared" si="6"/>
        <v>2</v>
      </c>
      <c r="H32">
        <f ca="1" t="shared" si="7"/>
        <v>0</v>
      </c>
      <c r="I32">
        <f ca="1" t="shared" si="8"/>
        <v>0</v>
      </c>
      <c r="J32" s="393" t="s">
        <v>103</v>
      </c>
      <c r="K32" s="162" t="str">
        <f t="shared" si="9"/>
        <v>2.2.2.</v>
      </c>
      <c r="L32" s="394" t="s">
        <v>233</v>
      </c>
      <c r="M32" s="394" t="s">
        <v>246</v>
      </c>
      <c r="N32" s="396" t="s">
        <v>396</v>
      </c>
      <c r="O32" s="397" t="s">
        <v>482</v>
      </c>
      <c r="P32" s="225">
        <f ca="1">OFFSET(PLQ!$E$12,ROW($P32)-ROW(P$12),0)</f>
        <v>44.42</v>
      </c>
      <c r="Q32" s="229"/>
      <c r="R32" s="232" t="s">
        <v>7</v>
      </c>
      <c r="S32" s="121">
        <f t="shared" si="10"/>
        <v>0</v>
      </c>
      <c r="T32" s="98">
        <f t="shared" si="11"/>
        <v>0</v>
      </c>
      <c r="U32" s="13" t="str">
        <f t="shared" si="12"/>
        <v>SEM VALOR</v>
      </c>
      <c r="V32" s="4">
        <f ca="1">IF(OR($A32=0,$A32="S",$A32&gt;CFF!$A$9),"",MAX(V$12:OFFSET(V32,-1,0))+1)</f>
      </c>
      <c r="W32" s="9" t="str">
        <f t="shared" si="13"/>
        <v>SINAPI-96546</v>
      </c>
      <c r="X32" s="4">
        <f ca="1" t="shared" si="14"/>
        <v>7458</v>
      </c>
      <c r="Y32" s="121">
        <v>16.02</v>
      </c>
      <c r="Z32" s="132">
        <f>ROUND(IF(ISNUMBER(R32),R32,IF(LEFT(R32,3)="BDI",HLOOKUP(R32,DADOS!$T$37:$X$38,2,FALSE),0)),15-11*$X$5)</f>
        <v>0.21</v>
      </c>
      <c r="AA32" s="4"/>
    </row>
    <row r="33" spans="1:27" ht="12.75">
      <c r="A33" t="str">
        <f t="shared" si="0"/>
        <v>S</v>
      </c>
      <c r="B33">
        <f t="shared" si="1"/>
        <v>0</v>
      </c>
      <c r="C33">
        <f ca="1" t="shared" si="2"/>
        <v>2</v>
      </c>
      <c r="D33">
        <f ca="1" t="shared" si="3"/>
        <v>2</v>
      </c>
      <c r="E33">
        <f ca="1" t="shared" si="4"/>
        <v>0</v>
      </c>
      <c r="F33">
        <f ca="1" t="shared" si="5"/>
        <v>0</v>
      </c>
      <c r="G33">
        <f ca="1" t="shared" si="6"/>
        <v>3</v>
      </c>
      <c r="H33">
        <f ca="1" t="shared" si="7"/>
        <v>0</v>
      </c>
      <c r="I33">
        <f ca="1" t="shared" si="8"/>
        <v>0</v>
      </c>
      <c r="J33" s="393" t="s">
        <v>103</v>
      </c>
      <c r="K33" s="162" t="str">
        <f t="shared" si="9"/>
        <v>2.2.3.</v>
      </c>
      <c r="L33" s="394" t="s">
        <v>233</v>
      </c>
      <c r="M33" s="394" t="s">
        <v>247</v>
      </c>
      <c r="N33" s="396" t="s">
        <v>397</v>
      </c>
      <c r="O33" s="397" t="s">
        <v>482</v>
      </c>
      <c r="P33" s="225">
        <f ca="1">OFFSET(PLQ!$E$12,ROW($P33)-ROW(P$12),0)</f>
        <v>17.08</v>
      </c>
      <c r="Q33" s="229"/>
      <c r="R33" s="232" t="s">
        <v>7</v>
      </c>
      <c r="S33" s="121">
        <f t="shared" si="10"/>
        <v>0</v>
      </c>
      <c r="T33" s="98">
        <f t="shared" si="11"/>
        <v>0</v>
      </c>
      <c r="U33" s="13" t="str">
        <f t="shared" si="12"/>
        <v>SEM VALOR</v>
      </c>
      <c r="V33" s="4">
        <f ca="1">IF(OR($A33=0,$A33="S",$A33&gt;CFF!$A$9),"",MAX(V$12:OFFSET(V33,-1,0))+1)</f>
      </c>
      <c r="W33" s="9" t="str">
        <f t="shared" si="13"/>
        <v>SINAPI-96543</v>
      </c>
      <c r="X33" s="4">
        <f ca="1" t="shared" si="14"/>
        <v>7278</v>
      </c>
      <c r="Y33" s="121">
        <v>21.43</v>
      </c>
      <c r="Z33" s="132">
        <f>ROUND(IF(ISNUMBER(R33),R33,IF(LEFT(R33,3)="BDI",HLOOKUP(R33,DADOS!$T$37:$X$38,2,FALSE),0)),15-11*$X$5)</f>
        <v>0.21</v>
      </c>
      <c r="AA33" s="4"/>
    </row>
    <row r="34" spans="1:27" ht="25.5">
      <c r="A34" t="str">
        <f t="shared" si="0"/>
        <v>S</v>
      </c>
      <c r="B34">
        <f t="shared" si="1"/>
        <v>0</v>
      </c>
      <c r="C34">
        <f ca="1" t="shared" si="2"/>
        <v>2</v>
      </c>
      <c r="D34">
        <f ca="1" t="shared" si="3"/>
        <v>2</v>
      </c>
      <c r="E34">
        <f ca="1" t="shared" si="4"/>
        <v>0</v>
      </c>
      <c r="F34">
        <f ca="1" t="shared" si="5"/>
        <v>0</v>
      </c>
      <c r="G34">
        <f ca="1" t="shared" si="6"/>
        <v>4</v>
      </c>
      <c r="H34">
        <f ca="1" t="shared" si="7"/>
        <v>0</v>
      </c>
      <c r="I34">
        <f ca="1" t="shared" si="8"/>
        <v>0</v>
      </c>
      <c r="J34" s="393" t="s">
        <v>103</v>
      </c>
      <c r="K34" s="162" t="str">
        <f t="shared" si="9"/>
        <v>2.2.4.</v>
      </c>
      <c r="L34" s="394" t="s">
        <v>233</v>
      </c>
      <c r="M34" s="394" t="s">
        <v>244</v>
      </c>
      <c r="N34" s="396" t="s">
        <v>398</v>
      </c>
      <c r="O34" s="397" t="s">
        <v>478</v>
      </c>
      <c r="P34" s="225">
        <f ca="1">OFFSET(PLQ!$E$12,ROW($P34)-ROW(P$12),0)</f>
        <v>0.81</v>
      </c>
      <c r="Q34" s="229"/>
      <c r="R34" s="232" t="s">
        <v>7</v>
      </c>
      <c r="S34" s="121">
        <f t="shared" si="10"/>
        <v>0</v>
      </c>
      <c r="T34" s="98">
        <f t="shared" si="11"/>
        <v>0</v>
      </c>
      <c r="U34" s="13" t="str">
        <f t="shared" si="12"/>
        <v>SEM VALOR</v>
      </c>
      <c r="V34" s="4">
        <f ca="1">IF(OR($A34=0,$A34="S",$A34&gt;CFF!$A$9),"",MAX(V$12:OFFSET(V34,-1,0))+1)</f>
      </c>
      <c r="W34" s="9" t="str">
        <f t="shared" si="13"/>
        <v>SINAPI-94964</v>
      </c>
      <c r="X34" s="4">
        <f ca="1" t="shared" si="14"/>
        <v>7493</v>
      </c>
      <c r="Y34" s="121">
        <v>575.26</v>
      </c>
      <c r="Z34" s="132">
        <f>ROUND(IF(ISNUMBER(R34),R34,IF(LEFT(R34,3)="BDI",HLOOKUP(R34,DADOS!$T$37:$X$38,2,FALSE),0)),15-11*$X$5)</f>
        <v>0.21</v>
      </c>
      <c r="AA34" s="4"/>
    </row>
    <row r="35" spans="1:27" ht="12.75">
      <c r="A35" t="str">
        <f t="shared" si="0"/>
        <v>S</v>
      </c>
      <c r="B35">
        <f t="shared" si="1"/>
        <v>0</v>
      </c>
      <c r="C35">
        <f ca="1" t="shared" si="2"/>
        <v>2</v>
      </c>
      <c r="D35">
        <f ca="1" t="shared" si="3"/>
        <v>2</v>
      </c>
      <c r="E35">
        <f ca="1" t="shared" si="4"/>
        <v>0</v>
      </c>
      <c r="F35">
        <f ca="1" t="shared" si="5"/>
        <v>0</v>
      </c>
      <c r="G35">
        <f ca="1" t="shared" si="6"/>
        <v>5</v>
      </c>
      <c r="H35">
        <f ca="1" t="shared" si="7"/>
        <v>0</v>
      </c>
      <c r="I35">
        <f ca="1" t="shared" si="8"/>
        <v>0</v>
      </c>
      <c r="J35" s="393" t="s">
        <v>103</v>
      </c>
      <c r="K35" s="162" t="str">
        <f t="shared" si="9"/>
        <v>2.2.5.</v>
      </c>
      <c r="L35" s="394" t="s">
        <v>233</v>
      </c>
      <c r="M35" s="394" t="s">
        <v>248</v>
      </c>
      <c r="N35" s="396" t="s">
        <v>399</v>
      </c>
      <c r="O35" s="397" t="s">
        <v>479</v>
      </c>
      <c r="P35" s="225">
        <f ca="1">OFFSET(PLQ!$E$12,ROW($P35)-ROW(P$12),0)</f>
        <v>8.25</v>
      </c>
      <c r="Q35" s="229"/>
      <c r="R35" s="232" t="s">
        <v>7</v>
      </c>
      <c r="S35" s="121">
        <f t="shared" si="10"/>
        <v>0</v>
      </c>
      <c r="T35" s="98">
        <f t="shared" si="11"/>
        <v>0</v>
      </c>
      <c r="U35" s="13" t="str">
        <f t="shared" si="12"/>
        <v>SEM VALOR</v>
      </c>
      <c r="V35" s="4">
        <f ca="1">IF(OR($A35=0,$A35="S",$A35&gt;CFF!$A$9),"",MAX(V$12:OFFSET(V35,-1,0))+1)</f>
      </c>
      <c r="W35" s="9" t="str">
        <f t="shared" si="13"/>
        <v>SINAPI-98557</v>
      </c>
      <c r="X35" s="4">
        <f ca="1" t="shared" si="14"/>
        <v>7673</v>
      </c>
      <c r="Y35" s="121">
        <v>62.11</v>
      </c>
      <c r="Z35" s="132">
        <f>ROUND(IF(ISNUMBER(R35),R35,IF(LEFT(R35,3)="BDI",HLOOKUP(R35,DADOS!$T$37:$X$38,2,FALSE),0)),15-11*$X$5)</f>
        <v>0.21</v>
      </c>
      <c r="AA35" s="4"/>
    </row>
    <row r="36" spans="1:27" ht="12.75">
      <c r="A36">
        <f t="shared" si="0"/>
        <v>2</v>
      </c>
      <c r="B36">
        <f t="shared" si="1"/>
        <v>6</v>
      </c>
      <c r="C36">
        <f ca="1" t="shared" si="2"/>
        <v>2</v>
      </c>
      <c r="D36">
        <f ca="1" t="shared" si="3"/>
        <v>3</v>
      </c>
      <c r="E36">
        <f ca="1" t="shared" si="4"/>
        <v>0</v>
      </c>
      <c r="F36">
        <f ca="1" t="shared" si="5"/>
        <v>0</v>
      </c>
      <c r="G36">
        <f ca="1" t="shared" si="6"/>
        <v>0</v>
      </c>
      <c r="H36">
        <f ca="1" t="shared" si="7"/>
        <v>6</v>
      </c>
      <c r="I36">
        <f ca="1" t="shared" si="8"/>
        <v>26</v>
      </c>
      <c r="J36" s="393" t="s">
        <v>100</v>
      </c>
      <c r="K36" s="162" t="str">
        <f t="shared" si="9"/>
        <v>2.3.</v>
      </c>
      <c r="L36" s="394"/>
      <c r="M36" s="394"/>
      <c r="N36" s="396" t="s">
        <v>351</v>
      </c>
      <c r="O36" s="397" t="s">
        <v>106</v>
      </c>
      <c r="P36" s="225">
        <f ca="1">OFFSET(PLQ!$E$12,ROW($P36)-ROW(P$12),0)</f>
        <v>0</v>
      </c>
      <c r="Q36" s="229"/>
      <c r="R36" s="232" t="s">
        <v>7</v>
      </c>
      <c r="S36" s="121">
        <f t="shared" si="10"/>
        <v>0</v>
      </c>
      <c r="T36" s="98">
        <f t="shared" si="11"/>
        <v>0</v>
      </c>
      <c r="U36" s="13" t="str">
        <f t="shared" si="12"/>
        <v>SEM VALOR</v>
      </c>
      <c r="V36" s="4">
        <f ca="1">IF(OR($A36=0,$A36="S",$A36&gt;CFF!$A$9),"",MAX(V$12:OFFSET(V36,-1,0))+1)</f>
        <v>7</v>
      </c>
      <c r="W36" s="9" t="b">
        <f t="shared" si="13"/>
        <v>0</v>
      </c>
      <c r="X36" s="4" t="str">
        <f ca="1" t="shared" si="14"/>
        <v>X</v>
      </c>
      <c r="Y36" s="121">
        <v>0</v>
      </c>
      <c r="Z36" s="132">
        <f>ROUND(IF(ISNUMBER(R36),R36,IF(LEFT(R36,3)="BDI",HLOOKUP(R36,DADOS!$T$37:$X$38,2,FALSE),0)),15-11*$X$5)</f>
        <v>0.21</v>
      </c>
      <c r="AA36" s="4"/>
    </row>
    <row r="37" spans="1:27" ht="25.5">
      <c r="A37" t="str">
        <f t="shared" si="0"/>
        <v>S</v>
      </c>
      <c r="B37">
        <f t="shared" si="1"/>
        <v>0</v>
      </c>
      <c r="C37">
        <f ca="1" t="shared" si="2"/>
        <v>2</v>
      </c>
      <c r="D37">
        <f ca="1" t="shared" si="3"/>
        <v>3</v>
      </c>
      <c r="E37">
        <f ca="1" t="shared" si="4"/>
        <v>0</v>
      </c>
      <c r="F37">
        <f ca="1" t="shared" si="5"/>
        <v>0</v>
      </c>
      <c r="G37">
        <f ca="1" t="shared" si="6"/>
        <v>1</v>
      </c>
      <c r="H37">
        <f ca="1" t="shared" si="7"/>
        <v>0</v>
      </c>
      <c r="I37">
        <f ca="1" t="shared" si="8"/>
        <v>0</v>
      </c>
      <c r="J37" s="393" t="s">
        <v>103</v>
      </c>
      <c r="K37" s="162" t="str">
        <f t="shared" si="9"/>
        <v>2.3.1.</v>
      </c>
      <c r="L37" s="394" t="s">
        <v>233</v>
      </c>
      <c r="M37" s="394" t="s">
        <v>249</v>
      </c>
      <c r="N37" s="396" t="s">
        <v>400</v>
      </c>
      <c r="O37" s="397" t="s">
        <v>479</v>
      </c>
      <c r="P37" s="225">
        <f ca="1">OFFSET(PLQ!$E$12,ROW($P37)-ROW(P$12),0)</f>
        <v>27.2</v>
      </c>
      <c r="Q37" s="229"/>
      <c r="R37" s="232" t="s">
        <v>7</v>
      </c>
      <c r="S37" s="121">
        <f t="shared" si="10"/>
        <v>0</v>
      </c>
      <c r="T37" s="98">
        <f t="shared" si="11"/>
        <v>0</v>
      </c>
      <c r="U37" s="13" t="str">
        <f t="shared" si="12"/>
        <v>SEM VALOR</v>
      </c>
      <c r="V37" s="4">
        <f ca="1">IF(OR($A37=0,$A37="S",$A37&gt;CFF!$A$9),"",MAX(V$12:OFFSET(V37,-1,0))+1)</f>
      </c>
      <c r="W37" s="9" t="str">
        <f t="shared" si="13"/>
        <v>SINAPI-92269</v>
      </c>
      <c r="X37" s="4">
        <f ca="1" t="shared" si="14"/>
        <v>7172</v>
      </c>
      <c r="Y37" s="121">
        <v>142.08</v>
      </c>
      <c r="Z37" s="132">
        <f>ROUND(IF(ISNUMBER(R37),R37,IF(LEFT(R37,3)="BDI",HLOOKUP(R37,DADOS!$T$37:$X$38,2,FALSE),0)),15-11*$X$5)</f>
        <v>0.21</v>
      </c>
      <c r="AA37" s="4"/>
    </row>
    <row r="38" spans="1:27" ht="25.5">
      <c r="A38" t="str">
        <f t="shared" si="0"/>
        <v>S</v>
      </c>
      <c r="B38">
        <f t="shared" si="1"/>
        <v>0</v>
      </c>
      <c r="C38">
        <f ca="1" t="shared" si="2"/>
        <v>2</v>
      </c>
      <c r="D38">
        <f ca="1" t="shared" si="3"/>
        <v>3</v>
      </c>
      <c r="E38">
        <f ca="1" t="shared" si="4"/>
        <v>0</v>
      </c>
      <c r="F38">
        <f ca="1" t="shared" si="5"/>
        <v>0</v>
      </c>
      <c r="G38">
        <f ca="1" t="shared" si="6"/>
        <v>2</v>
      </c>
      <c r="H38">
        <f ca="1" t="shared" si="7"/>
        <v>0</v>
      </c>
      <c r="I38">
        <f ca="1" t="shared" si="8"/>
        <v>0</v>
      </c>
      <c r="J38" s="393" t="s">
        <v>103</v>
      </c>
      <c r="K38" s="162" t="str">
        <f t="shared" si="9"/>
        <v>2.3.2.</v>
      </c>
      <c r="L38" s="394" t="s">
        <v>233</v>
      </c>
      <c r="M38" s="394" t="s">
        <v>250</v>
      </c>
      <c r="N38" s="396" t="s">
        <v>401</v>
      </c>
      <c r="O38" s="397" t="s">
        <v>482</v>
      </c>
      <c r="P38" s="225">
        <f ca="1">OFFSET(PLQ!$E$12,ROW($P38)-ROW(P$12),0)</f>
        <v>83.91</v>
      </c>
      <c r="Q38" s="229"/>
      <c r="R38" s="232" t="s">
        <v>7</v>
      </c>
      <c r="S38" s="121">
        <f t="shared" si="10"/>
        <v>0</v>
      </c>
      <c r="T38" s="98">
        <f t="shared" si="11"/>
        <v>0</v>
      </c>
      <c r="U38" s="13" t="str">
        <f t="shared" si="12"/>
        <v>SEM VALOR</v>
      </c>
      <c r="V38" s="4">
        <f ca="1">IF(OR($A38=0,$A38="S",$A38&gt;CFF!$A$9),"",MAX(V$12:OFFSET(V38,-1,0))+1)</f>
      </c>
      <c r="W38" s="9" t="str">
        <f t="shared" si="13"/>
        <v>SINAPI-92763</v>
      </c>
      <c r="X38" s="4">
        <f ca="1" t="shared" si="14"/>
        <v>7395</v>
      </c>
      <c r="Y38" s="121">
        <v>11.6</v>
      </c>
      <c r="Z38" s="132">
        <f>ROUND(IF(ISNUMBER(R38),R38,IF(LEFT(R38,3)="BDI",HLOOKUP(R38,DADOS!$T$37:$X$38,2,FALSE),0)),15-11*$X$5)</f>
        <v>0.21</v>
      </c>
      <c r="AA38" s="4"/>
    </row>
    <row r="39" spans="1:27" ht="25.5">
      <c r="A39" t="str">
        <f t="shared" si="0"/>
        <v>S</v>
      </c>
      <c r="B39">
        <f t="shared" si="1"/>
        <v>0</v>
      </c>
      <c r="C39">
        <f ca="1" t="shared" si="2"/>
        <v>2</v>
      </c>
      <c r="D39">
        <f ca="1" t="shared" si="3"/>
        <v>3</v>
      </c>
      <c r="E39">
        <f ca="1" t="shared" si="4"/>
        <v>0</v>
      </c>
      <c r="F39">
        <f ca="1" t="shared" si="5"/>
        <v>0</v>
      </c>
      <c r="G39">
        <f ca="1" t="shared" si="6"/>
        <v>3</v>
      </c>
      <c r="H39">
        <f ca="1" t="shared" si="7"/>
        <v>0</v>
      </c>
      <c r="I39">
        <f ca="1" t="shared" si="8"/>
        <v>0</v>
      </c>
      <c r="J39" s="393" t="s">
        <v>103</v>
      </c>
      <c r="K39" s="162" t="str">
        <f t="shared" si="9"/>
        <v>2.3.3.</v>
      </c>
      <c r="L39" s="394" t="s">
        <v>233</v>
      </c>
      <c r="M39" s="394" t="s">
        <v>251</v>
      </c>
      <c r="N39" s="396" t="s">
        <v>402</v>
      </c>
      <c r="O39" s="397" t="s">
        <v>482</v>
      </c>
      <c r="P39" s="225">
        <f ca="1">OFFSET(PLQ!$E$12,ROW($P39)-ROW(P$12),0)</f>
        <v>26.57</v>
      </c>
      <c r="Q39" s="229"/>
      <c r="R39" s="232" t="s">
        <v>7</v>
      </c>
      <c r="S39" s="121">
        <f t="shared" si="10"/>
        <v>0</v>
      </c>
      <c r="T39" s="98">
        <f t="shared" si="11"/>
        <v>0</v>
      </c>
      <c r="U39" s="13" t="str">
        <f t="shared" si="12"/>
        <v>SEM VALOR</v>
      </c>
      <c r="V39" s="4">
        <f ca="1">IF(OR($A39=0,$A39="S",$A39&gt;CFF!$A$9),"",MAX(V$12:OFFSET(V39,-1,0))+1)</f>
      </c>
      <c r="W39" s="9" t="str">
        <f t="shared" si="13"/>
        <v>SINAPI-92759</v>
      </c>
      <c r="X39" s="4">
        <f ca="1" t="shared" si="14"/>
        <v>7391</v>
      </c>
      <c r="Y39" s="121">
        <v>17.19</v>
      </c>
      <c r="Z39" s="132">
        <f>ROUND(IF(ISNUMBER(R39),R39,IF(LEFT(R39,3)="BDI",HLOOKUP(R39,DADOS!$T$37:$X$38,2,FALSE),0)),15-11*$X$5)</f>
        <v>0.21</v>
      </c>
      <c r="AA39" s="4"/>
    </row>
    <row r="40" spans="1:27" ht="25.5">
      <c r="A40" t="str">
        <f t="shared" si="0"/>
        <v>S</v>
      </c>
      <c r="B40">
        <f t="shared" si="1"/>
        <v>0</v>
      </c>
      <c r="C40">
        <f ca="1" t="shared" si="2"/>
        <v>2</v>
      </c>
      <c r="D40">
        <f ca="1" t="shared" si="3"/>
        <v>3</v>
      </c>
      <c r="E40">
        <f ca="1" t="shared" si="4"/>
        <v>0</v>
      </c>
      <c r="F40">
        <f ca="1" t="shared" si="5"/>
        <v>0</v>
      </c>
      <c r="G40">
        <f ca="1" t="shared" si="6"/>
        <v>4</v>
      </c>
      <c r="H40">
        <f ca="1" t="shared" si="7"/>
        <v>0</v>
      </c>
      <c r="I40">
        <f ca="1" t="shared" si="8"/>
        <v>0</v>
      </c>
      <c r="J40" s="393" t="s">
        <v>103</v>
      </c>
      <c r="K40" s="162" t="str">
        <f t="shared" si="9"/>
        <v>2.3.4.</v>
      </c>
      <c r="L40" s="394" t="s">
        <v>233</v>
      </c>
      <c r="M40" s="394" t="s">
        <v>244</v>
      </c>
      <c r="N40" s="396" t="s">
        <v>398</v>
      </c>
      <c r="O40" s="397" t="s">
        <v>478</v>
      </c>
      <c r="P40" s="225">
        <f ca="1">OFFSET(PLQ!$E$12,ROW($P40)-ROW(P$12),0)</f>
        <v>1.36</v>
      </c>
      <c r="Q40" s="229"/>
      <c r="R40" s="232" t="s">
        <v>7</v>
      </c>
      <c r="S40" s="121">
        <f t="shared" si="10"/>
        <v>0</v>
      </c>
      <c r="T40" s="98">
        <f t="shared" si="11"/>
        <v>0</v>
      </c>
      <c r="U40" s="13" t="str">
        <f t="shared" si="12"/>
        <v>SEM VALOR</v>
      </c>
      <c r="V40" s="4">
        <f ca="1">IF(OR($A40=0,$A40="S",$A40&gt;CFF!$A$9),"",MAX(V$12:OFFSET(V40,-1,0))+1)</f>
      </c>
      <c r="W40" s="9" t="str">
        <f t="shared" si="13"/>
        <v>SINAPI-94964</v>
      </c>
      <c r="X40" s="4">
        <f ca="1" t="shared" si="14"/>
        <v>7493</v>
      </c>
      <c r="Y40" s="121">
        <v>575.26</v>
      </c>
      <c r="Z40" s="132">
        <f>ROUND(IF(ISNUMBER(R40),R40,IF(LEFT(R40,3)="BDI",HLOOKUP(R40,DADOS!$T$37:$X$38,2,FALSE),0)),15-11*$X$5)</f>
        <v>0.21</v>
      </c>
      <c r="AA40" s="4"/>
    </row>
    <row r="41" spans="1:27" ht="25.5">
      <c r="A41" t="str">
        <f>CHOOSE(1+LOG(1+2*(J41="Meta")+4*(J41="Nível 2")+8*(J41="Nível 3")+16*(J41="Nível 4")+32*(J41="Serviço"),2),0,1,2,3,4,"S")</f>
        <v>S</v>
      </c>
      <c r="B41">
        <f>IF(OR(A41="S",A41=0),0,IF(ISERROR(I41),H41,SMALL(H41:I41,1)))</f>
        <v>0</v>
      </c>
      <c r="C41">
        <f ca="1">IF($A41=1,OFFSET(C41,-1,0)+1,OFFSET(C41,-1,0))</f>
        <v>2</v>
      </c>
      <c r="D41">
        <f ca="1">IF($A41=1,0,IF($A41=2,OFFSET(D41,-1,0)+1,OFFSET(D41,-1,0)))</f>
        <v>3</v>
      </c>
      <c r="E41">
        <f ca="1">IF(AND($A41&lt;=2,$A41&lt;&gt;0),0,IF($A41=3,OFFSET(E41,-1,0)+1,OFFSET(E41,-1,0)))</f>
        <v>0</v>
      </c>
      <c r="F41">
        <f ca="1">IF(AND($A41&lt;=3,$A41&lt;&gt;0),0,IF($A41=4,OFFSET(F41,-1,0)+1,OFFSET(F41,-1,0)))</f>
        <v>0</v>
      </c>
      <c r="G41">
        <f ca="1">IF(AND($A41&lt;=4,$A41&lt;&gt;0),0,IF($A41="S",OFFSET(G41,-1,0)+1,OFFSET(G41,-1,0)))</f>
        <v>5</v>
      </c>
      <c r="H41">
        <f ca="1" t="shared" si="7"/>
        <v>0</v>
      </c>
      <c r="I41">
        <f ca="1" t="shared" si="8"/>
        <v>0</v>
      </c>
      <c r="J41" s="393" t="s">
        <v>103</v>
      </c>
      <c r="K41" s="162" t="str">
        <f>IF($A41=0,"-",CONCATENATE(C41&amp;".",IF(AND($A$5&gt;=2,$A41&gt;=2),D41&amp;".",""),IF(AND($A$5&gt;=3,$A41&gt;=3),E41&amp;".",""),IF(AND($A$5&gt;=4,$A41&gt;=4),F41&amp;".",""),IF($A41="S",G41&amp;".","")))</f>
        <v>2.3.5.</v>
      </c>
      <c r="L41" s="394" t="s">
        <v>233</v>
      </c>
      <c r="M41" s="394" t="s">
        <v>252</v>
      </c>
      <c r="N41" s="396" t="s">
        <v>403</v>
      </c>
      <c r="O41" s="397" t="s">
        <v>479</v>
      </c>
      <c r="P41" s="225">
        <f ca="1">OFFSET(PLQ!$E$12,ROW($P41)-ROW(P$12),0)</f>
        <v>3.24</v>
      </c>
      <c r="Q41" s="229"/>
      <c r="R41" s="232" t="s">
        <v>7</v>
      </c>
      <c r="S41" s="121">
        <f>IF($A41="S",IF($Q$10="Preço Unitário (R$)",PO.CustoUnitario,ROUND(PO.CustoUnitario*(1+$Z41),15-13*$X$6)),0)</f>
        <v>0</v>
      </c>
      <c r="T41" s="98">
        <f>IF($A41="S",VTOTAL1,IF($A41=0,0,ROUND(SomaAgrup,15-13*$X$7)))</f>
        <v>0</v>
      </c>
      <c r="U41" s="13" t="str">
        <f>IF($J41="","",IF($N41="","DESCRIÇÃO",IF(AND($J41="Serviço",$O41=""),"UNIDADE",IF($T41&lt;=0,"SEM VALOR",IF(AND($Y41&lt;&gt;"",$Q41&gt;$Y41),"ACIMA REF.","")))))</f>
        <v>SEM VALOR</v>
      </c>
      <c r="V41" s="4">
        <f ca="1">IF(OR($A41=0,$A41="S",$A41&gt;CFF!$A$9),"",MAX(V$12:OFFSET(V41,-1,0))+1)</f>
      </c>
      <c r="W41" s="9" t="str">
        <f>IF(AND($J41="Serviço",$M41&lt;&gt;""),IF($L41="",$M41,CONCATENATE($L41,"-",$M41)))</f>
        <v>SINAPI-101964</v>
      </c>
      <c r="X41" s="4">
        <f ca="1">IF(AND(Fonte&lt;&gt;"",Código&lt;&gt;""),MATCH(Fonte&amp;" "&amp;IF(Fonte="sinapi",SUBSTITUTE(SUBSTITUTE(Código,"/00","/"),"/0","/"),Código),INDIRECT("'[Referência "&amp;DATABASE&amp;".xls]Banco'!$a:$a"),0),"X")</f>
        <v>7557</v>
      </c>
      <c r="Y41" s="121">
        <v>197.79</v>
      </c>
      <c r="Z41" s="132">
        <f>ROUND(IF(ISNUMBER(R41),R41,IF(LEFT(R41,3)="BDI",HLOOKUP(R41,DADOS!$T$37:$X$38,2,FALSE),0)),15-11*$X$5)</f>
        <v>0.21</v>
      </c>
      <c r="AA41" s="4"/>
    </row>
    <row r="42" spans="1:27" ht="12.75">
      <c r="A42">
        <f t="shared" si="0"/>
        <v>1</v>
      </c>
      <c r="B42">
        <f t="shared" si="1"/>
        <v>3</v>
      </c>
      <c r="C42">
        <f ca="1" t="shared" si="2"/>
        <v>3</v>
      </c>
      <c r="D42">
        <f ca="1" t="shared" si="3"/>
        <v>0</v>
      </c>
      <c r="E42">
        <f ca="1" t="shared" si="4"/>
        <v>0</v>
      </c>
      <c r="F42">
        <f ca="1" t="shared" si="5"/>
        <v>0</v>
      </c>
      <c r="G42">
        <f ca="1" t="shared" si="6"/>
        <v>0</v>
      </c>
      <c r="H42">
        <f ca="1" t="shared" si="7"/>
        <v>125</v>
      </c>
      <c r="I42">
        <f ca="1" t="shared" si="8"/>
        <v>3</v>
      </c>
      <c r="J42" s="393" t="s">
        <v>99</v>
      </c>
      <c r="K42" s="162" t="str">
        <f t="shared" si="9"/>
        <v>3.</v>
      </c>
      <c r="L42" s="394"/>
      <c r="M42" s="394"/>
      <c r="N42" s="396" t="s">
        <v>306</v>
      </c>
      <c r="O42" s="397" t="s">
        <v>106</v>
      </c>
      <c r="P42" s="225">
        <f ca="1">OFFSET(PLQ!$E$12,ROW($P42)-ROW(P$12),0)</f>
        <v>0</v>
      </c>
      <c r="Q42" s="229"/>
      <c r="R42" s="232" t="s">
        <v>7</v>
      </c>
      <c r="S42" s="121">
        <f t="shared" si="10"/>
        <v>0</v>
      </c>
      <c r="T42" s="98">
        <f t="shared" si="11"/>
        <v>0</v>
      </c>
      <c r="U42" s="13" t="str">
        <f t="shared" si="12"/>
        <v>SEM VALOR</v>
      </c>
      <c r="V42" s="4">
        <f ca="1">IF(OR($A42=0,$A42="S",$A42&gt;CFF!$A$9),"",MAX(V$12:OFFSET(V42,-1,0))+1)</f>
        <v>8</v>
      </c>
      <c r="W42" s="9" t="b">
        <f t="shared" si="13"/>
        <v>0</v>
      </c>
      <c r="X42" s="4" t="str">
        <f ca="1" t="shared" si="14"/>
        <v>X</v>
      </c>
      <c r="Y42" s="121">
        <v>0</v>
      </c>
      <c r="Z42" s="132">
        <f>ROUND(IF(ISNUMBER(R42),R42,IF(LEFT(R42,3)="BDI",HLOOKUP(R42,DADOS!$T$37:$X$38,2,FALSE),0)),15-11*$X$5)</f>
        <v>0.21</v>
      </c>
      <c r="AA42" s="4"/>
    </row>
    <row r="43" spans="1:27" ht="25.5">
      <c r="A43" t="str">
        <f>CHOOSE(1+LOG(1+2*(J43="Meta")+4*(J43="Nível 2")+8*(J43="Nível 3")+16*(J43="Nível 4")+32*(J43="Serviço"),2),0,1,2,3,4,"S")</f>
        <v>S</v>
      </c>
      <c r="B43">
        <f>IF(OR(A43="S",A43=0),0,IF(ISERROR(I43),H43,SMALL(H43:I43,1)))</f>
        <v>0</v>
      </c>
      <c r="C43">
        <f ca="1">IF($A43=1,OFFSET(C43,-1,0)+1,OFFSET(C43,-1,0))</f>
        <v>3</v>
      </c>
      <c r="D43">
        <f ca="1">IF($A43=1,0,IF($A43=2,OFFSET(D43,-1,0)+1,OFFSET(D43,-1,0)))</f>
        <v>0</v>
      </c>
      <c r="E43">
        <f ca="1">IF(AND($A43&lt;=2,$A43&lt;&gt;0),0,IF($A43=3,OFFSET(E43,-1,0)+1,OFFSET(E43,-1,0)))</f>
        <v>0</v>
      </c>
      <c r="F43">
        <f ca="1">IF(AND($A43&lt;=3,$A43&lt;&gt;0),0,IF($A43=4,OFFSET(F43,-1,0)+1,OFFSET(F43,-1,0)))</f>
        <v>0</v>
      </c>
      <c r="G43">
        <f ca="1">IF(AND($A43&lt;=4,$A43&lt;&gt;0),0,IF($A43="S",OFFSET(G43,-1,0)+1,OFFSET(G43,-1,0)))</f>
        <v>1</v>
      </c>
      <c r="H43">
        <f ca="1" t="shared" si="7"/>
        <v>0</v>
      </c>
      <c r="I43">
        <f ca="1" t="shared" si="8"/>
        <v>0</v>
      </c>
      <c r="J43" s="393" t="s">
        <v>103</v>
      </c>
      <c r="K43" s="162" t="str">
        <f>IF($A43=0,"-",CONCATENATE(C43&amp;".",IF(AND($A$5&gt;=2,$A43&gt;=2),D43&amp;".",""),IF(AND($A$5&gt;=3,$A43&gt;=3),E43&amp;".",""),IF(AND($A$5&gt;=4,$A43&gt;=4),F43&amp;".",""),IF($A43="S",G43&amp;".","")))</f>
        <v>3.0.1.</v>
      </c>
      <c r="L43" s="394" t="s">
        <v>233</v>
      </c>
      <c r="M43" s="394" t="s">
        <v>254</v>
      </c>
      <c r="N43" s="396" t="s">
        <v>404</v>
      </c>
      <c r="O43" s="397" t="s">
        <v>480</v>
      </c>
      <c r="P43" s="225">
        <f ca="1">OFFSET(PLQ!$E$12,ROW($P43)-ROW(P$12),0)</f>
        <v>6</v>
      </c>
      <c r="Q43" s="229"/>
      <c r="R43" s="232" t="s">
        <v>7</v>
      </c>
      <c r="S43" s="121">
        <f>IF($A43="S",IF($Q$10="Preço Unitário (R$)",PO.CustoUnitario,ROUND(PO.CustoUnitario*(1+$Z43),15-13*$X$6)),0)</f>
        <v>0</v>
      </c>
      <c r="T43" s="98">
        <f>IF($A43="S",VTOTAL1,IF($A43=0,0,ROUND(SomaAgrup,15-13*$X$7)))</f>
        <v>0</v>
      </c>
      <c r="U43" s="13" t="str">
        <f>IF($J43="","",IF($N43="","DESCRIÇÃO",IF(AND($J43="Serviço",$O43=""),"UNIDADE",IF($T43&lt;=0,"SEM VALOR",IF(AND($Y43&lt;&gt;"",$Q43&gt;$Y43),"ACIMA REF.","")))))</f>
        <v>SEM VALOR</v>
      </c>
      <c r="V43" s="4">
        <f ca="1">IF(OR($A43=0,$A43="S",$A43&gt;CFF!$A$9),"",MAX(V$12:OFFSET(V43,-1,0))+1)</f>
      </c>
      <c r="W43" s="9" t="str">
        <f>IF(AND($J43="Serviço",$M43&lt;&gt;""),IF($L43="",$M43,CONCATENATE($L43,"-",$M43)))</f>
        <v>SINAPI-94231</v>
      </c>
      <c r="X43" s="4">
        <f ca="1">IF(AND(Fonte&lt;&gt;"",Código&lt;&gt;""),MATCH(Fonte&amp;" "&amp;IF(Fonte="sinapi",SUBSTITUTE(SUBSTITUTE(Código,"/00","/"),"/0","/"),Código),INDIRECT("'[Referência "&amp;DATABASE&amp;".xls]Banco'!$a:$a"),0),"X")</f>
        <v>6324</v>
      </c>
      <c r="Y43" s="121">
        <v>69.85</v>
      </c>
      <c r="Z43" s="132">
        <f>ROUND(IF(ISNUMBER(R43),R43,IF(LEFT(R43,3)="BDI",HLOOKUP(R43,DADOS!$T$37:$X$38,2,FALSE),0)),15-11*$X$5)</f>
        <v>0.21</v>
      </c>
      <c r="AA43" s="4"/>
    </row>
    <row r="44" spans="1:27" ht="25.5">
      <c r="A44" t="str">
        <f t="shared" si="0"/>
        <v>S</v>
      </c>
      <c r="B44">
        <f t="shared" si="1"/>
        <v>0</v>
      </c>
      <c r="C44">
        <f ca="1" t="shared" si="2"/>
        <v>3</v>
      </c>
      <c r="D44">
        <f ca="1" t="shared" si="3"/>
        <v>0</v>
      </c>
      <c r="E44">
        <f ca="1" t="shared" si="4"/>
        <v>0</v>
      </c>
      <c r="F44">
        <f ca="1" t="shared" si="5"/>
        <v>0</v>
      </c>
      <c r="G44">
        <f ca="1" t="shared" si="6"/>
        <v>2</v>
      </c>
      <c r="H44">
        <f ca="1" t="shared" si="7"/>
        <v>0</v>
      </c>
      <c r="I44">
        <f ca="1" t="shared" si="8"/>
        <v>0</v>
      </c>
      <c r="J44" s="393" t="s">
        <v>103</v>
      </c>
      <c r="K44" s="162" t="str">
        <f t="shared" si="9"/>
        <v>3.0.2.</v>
      </c>
      <c r="L44" s="394" t="s">
        <v>233</v>
      </c>
      <c r="M44" s="394" t="s">
        <v>255</v>
      </c>
      <c r="N44" s="396" t="s">
        <v>405</v>
      </c>
      <c r="O44" s="397" t="s">
        <v>480</v>
      </c>
      <c r="P44" s="225">
        <f ca="1">OFFSET(PLQ!$E$12,ROW($P44)-ROW(P$12),0)</f>
        <v>8</v>
      </c>
      <c r="Q44" s="229"/>
      <c r="R44" s="232" t="s">
        <v>7</v>
      </c>
      <c r="S44" s="121">
        <f t="shared" si="10"/>
        <v>0</v>
      </c>
      <c r="T44" s="98">
        <f t="shared" si="11"/>
        <v>0</v>
      </c>
      <c r="U44" s="13" t="str">
        <f t="shared" si="12"/>
        <v>SEM VALOR</v>
      </c>
      <c r="V44" s="4">
        <f ca="1">IF(OR($A44=0,$A44="S",$A44&gt;CFF!$A$9),"",MAX(V$12:OFFSET(V44,-1,0))+1)</f>
      </c>
      <c r="W44" s="9" t="str">
        <f t="shared" si="13"/>
        <v>SINAPI-94228</v>
      </c>
      <c r="X44" s="4">
        <f ca="1" t="shared" si="14"/>
        <v>6322</v>
      </c>
      <c r="Y44" s="121">
        <v>118.27</v>
      </c>
      <c r="Z44" s="132">
        <f>ROUND(IF(ISNUMBER(R44),R44,IF(LEFT(R44,3)="BDI",HLOOKUP(R44,DADOS!$T$37:$X$38,2,FALSE),0)),15-11*$X$5)</f>
        <v>0.21</v>
      </c>
      <c r="AA44" s="4"/>
    </row>
    <row r="45" spans="1:27" ht="12.75">
      <c r="A45">
        <f t="shared" si="0"/>
        <v>1</v>
      </c>
      <c r="B45">
        <f t="shared" si="1"/>
        <v>4</v>
      </c>
      <c r="C45">
        <f ca="1" t="shared" si="2"/>
        <v>4</v>
      </c>
      <c r="D45">
        <f ca="1" t="shared" si="3"/>
        <v>0</v>
      </c>
      <c r="E45">
        <f ca="1" t="shared" si="4"/>
        <v>0</v>
      </c>
      <c r="F45">
        <f ca="1" t="shared" si="5"/>
        <v>0</v>
      </c>
      <c r="G45">
        <f ca="1" t="shared" si="6"/>
        <v>0</v>
      </c>
      <c r="H45">
        <f aca="true" ca="1" t="shared" si="15" ref="H45:H76">IF(OR($A45="S",$A45=0),0,MATCH(0,OFFSET($B45,1,$A45,ROW($A$167)-ROW($A45)),0))</f>
        <v>122</v>
      </c>
      <c r="I45">
        <f aca="true" ca="1" t="shared" si="16" ref="I45:I76">IF(OR($A45="S",$A45=0),0,MATCH(OFFSET($B45,0,$A45)+1,OFFSET($B45,1,$A45,ROW($A$167)-ROW($A45)),0))</f>
        <v>4</v>
      </c>
      <c r="J45" s="393" t="s">
        <v>99</v>
      </c>
      <c r="K45" s="162" t="str">
        <f t="shared" si="9"/>
        <v>4.</v>
      </c>
      <c r="L45" s="394"/>
      <c r="M45" s="394"/>
      <c r="N45" s="396" t="s">
        <v>256</v>
      </c>
      <c r="O45" s="397" t="s">
        <v>106</v>
      </c>
      <c r="P45" s="225">
        <f ca="1">OFFSET(PLQ!$E$12,ROW($P45)-ROW(P$12),0)</f>
        <v>0</v>
      </c>
      <c r="Q45" s="229"/>
      <c r="R45" s="232" t="s">
        <v>7</v>
      </c>
      <c r="S45" s="121">
        <f t="shared" si="10"/>
        <v>0</v>
      </c>
      <c r="T45" s="98">
        <f t="shared" si="11"/>
        <v>0</v>
      </c>
      <c r="U45" s="13" t="str">
        <f t="shared" si="12"/>
        <v>SEM VALOR</v>
      </c>
      <c r="V45" s="4">
        <f ca="1">IF(OR($A45=0,$A45="S",$A45&gt;CFF!$A$9),"",MAX(V$12:OFFSET(V45,-1,0))+1)</f>
        <v>9</v>
      </c>
      <c r="W45" s="9" t="b">
        <f t="shared" si="13"/>
        <v>0</v>
      </c>
      <c r="X45" s="4" t="str">
        <f ca="1" t="shared" si="14"/>
        <v>X</v>
      </c>
      <c r="Y45" s="121">
        <v>0</v>
      </c>
      <c r="Z45" s="132">
        <f>ROUND(IF(ISNUMBER(R45),R45,IF(LEFT(R45,3)="BDI",HLOOKUP(R45,DADOS!$T$37:$X$38,2,FALSE),0)),15-11*$X$5)</f>
        <v>0.21</v>
      </c>
      <c r="AA45" s="4"/>
    </row>
    <row r="46" spans="1:27" ht="25.5">
      <c r="A46" t="str">
        <f t="shared" si="0"/>
        <v>S</v>
      </c>
      <c r="B46">
        <f t="shared" si="1"/>
        <v>0</v>
      </c>
      <c r="C46">
        <f ca="1" t="shared" si="2"/>
        <v>4</v>
      </c>
      <c r="D46">
        <f ca="1" t="shared" si="3"/>
        <v>0</v>
      </c>
      <c r="E46">
        <f ca="1" t="shared" si="4"/>
        <v>0</v>
      </c>
      <c r="F46">
        <f ca="1" t="shared" si="5"/>
        <v>0</v>
      </c>
      <c r="G46">
        <f ca="1" t="shared" si="6"/>
        <v>1</v>
      </c>
      <c r="H46">
        <f ca="1" t="shared" si="15"/>
        <v>0</v>
      </c>
      <c r="I46">
        <f ca="1" t="shared" si="16"/>
        <v>0</v>
      </c>
      <c r="J46" s="393" t="s">
        <v>103</v>
      </c>
      <c r="K46" s="162" t="str">
        <f t="shared" si="9"/>
        <v>4.0.1.</v>
      </c>
      <c r="L46" s="394" t="s">
        <v>233</v>
      </c>
      <c r="M46" s="394" t="s">
        <v>257</v>
      </c>
      <c r="N46" s="396" t="s">
        <v>406</v>
      </c>
      <c r="O46" s="397" t="s">
        <v>479</v>
      </c>
      <c r="P46" s="225">
        <f ca="1">OFFSET(PLQ!$E$12,ROW($P46)-ROW(P$12),0)</f>
        <v>71.06</v>
      </c>
      <c r="Q46" s="229"/>
      <c r="R46" s="232" t="s">
        <v>7</v>
      </c>
      <c r="S46" s="121">
        <f t="shared" si="10"/>
        <v>0</v>
      </c>
      <c r="T46" s="98">
        <f t="shared" si="11"/>
        <v>0</v>
      </c>
      <c r="U46" s="13" t="str">
        <f t="shared" si="12"/>
        <v>SEM VALOR</v>
      </c>
      <c r="V46" s="4">
        <f ca="1">IF(OR($A46=0,$A46="S",$A46&gt;CFF!$A$9),"",MAX(V$12:OFFSET(V46,-1,0))+1)</f>
      </c>
      <c r="W46" s="9" t="str">
        <f t="shared" si="13"/>
        <v>SINAPI-103330</v>
      </c>
      <c r="X46" s="4">
        <f ca="1" t="shared" si="14"/>
        <v>10734</v>
      </c>
      <c r="Y46" s="121">
        <v>99.23</v>
      </c>
      <c r="Z46" s="132">
        <f>ROUND(IF(ISNUMBER(R46),R46,IF(LEFT(R46,3)="BDI",HLOOKUP(R46,DADOS!$T$37:$X$38,2,FALSE),0)),15-11*$X$5)</f>
        <v>0.21</v>
      </c>
      <c r="AA46" s="4"/>
    </row>
    <row r="47" spans="1:27" ht="25.5">
      <c r="A47" t="str">
        <f>CHOOSE(1+LOG(1+2*(J47="Meta")+4*(J47="Nível 2")+8*(J47="Nível 3")+16*(J47="Nível 4")+32*(J47="Serviço"),2),0,1,2,3,4,"S")</f>
        <v>S</v>
      </c>
      <c r="B47">
        <f>IF(OR(A47="S",A47=0),0,IF(ISERROR(I47),H47,SMALL(H47:I47,1)))</f>
        <v>0</v>
      </c>
      <c r="C47">
        <f ca="1">IF($A47=1,OFFSET(C47,-1,0)+1,OFFSET(C47,-1,0))</f>
        <v>4</v>
      </c>
      <c r="D47">
        <f ca="1">IF($A47=1,0,IF($A47=2,OFFSET(D47,-1,0)+1,OFFSET(D47,-1,0)))</f>
        <v>0</v>
      </c>
      <c r="E47">
        <f ca="1">IF(AND($A47&lt;=2,$A47&lt;&gt;0),0,IF($A47=3,OFFSET(E47,-1,0)+1,OFFSET(E47,-1,0)))</f>
        <v>0</v>
      </c>
      <c r="F47">
        <f ca="1">IF(AND($A47&lt;=3,$A47&lt;&gt;0),0,IF($A47=4,OFFSET(F47,-1,0)+1,OFFSET(F47,-1,0)))</f>
        <v>0</v>
      </c>
      <c r="G47">
        <f ca="1">IF(AND($A47&lt;=4,$A47&lt;&gt;0),0,IF($A47="S",OFFSET(G47,-1,0)+1,OFFSET(G47,-1,0)))</f>
        <v>2</v>
      </c>
      <c r="H47">
        <f ca="1" t="shared" si="15"/>
        <v>0</v>
      </c>
      <c r="I47">
        <f ca="1" t="shared" si="16"/>
        <v>0</v>
      </c>
      <c r="J47" s="393" t="s">
        <v>103</v>
      </c>
      <c r="K47" s="162" t="str">
        <f>IF($A47=0,"-",CONCATENATE(C47&amp;".",IF(AND($A$5&gt;=2,$A47&gt;=2),D47&amp;".",""),IF(AND($A$5&gt;=3,$A47&gt;=3),E47&amp;".",""),IF(AND($A$5&gt;=4,$A47&gt;=4),F47&amp;".",""),IF($A47="S",G47&amp;".","")))</f>
        <v>4.0.2.</v>
      </c>
      <c r="L47" s="394" t="s">
        <v>233</v>
      </c>
      <c r="M47" s="394" t="s">
        <v>331</v>
      </c>
      <c r="N47" s="396" t="s">
        <v>407</v>
      </c>
      <c r="O47" s="397" t="s">
        <v>479</v>
      </c>
      <c r="P47" s="225">
        <f ca="1">OFFSET(PLQ!$E$12,ROW($P47)-ROW(P$12),0)</f>
        <v>6</v>
      </c>
      <c r="Q47" s="229"/>
      <c r="R47" s="232" t="s">
        <v>7</v>
      </c>
      <c r="S47" s="121">
        <f>IF($A47="S",IF($Q$10="Preço Unitário (R$)",PO.CustoUnitario,ROUND(PO.CustoUnitario*(1+$Z47),15-13*$X$6)),0)</f>
        <v>0</v>
      </c>
      <c r="T47" s="98">
        <f>IF($A47="S",VTOTAL1,IF($A47=0,0,ROUND(SomaAgrup,15-13*$X$7)))</f>
        <v>0</v>
      </c>
      <c r="U47" s="13" t="str">
        <f>IF($J47="","",IF($N47="","DESCRIÇÃO",IF(AND($J47="Serviço",$O47=""),"UNIDADE",IF($T47&lt;=0,"SEM VALOR",IF(AND($Y47&lt;&gt;"",$Q47&gt;$Y47),"ACIMA REF.","")))))</f>
        <v>SEM VALOR</v>
      </c>
      <c r="V47" s="4">
        <f ca="1">IF(OR($A47=0,$A47="S",$A47&gt;CFF!$A$9),"",MAX(V$12:OFFSET(V47,-1,0))+1)</f>
      </c>
      <c r="W47" s="9" t="str">
        <f>IF(AND($J47="Serviço",$M47&lt;&gt;""),IF($L47="",$M47,CONCATENATE($L47,"-",$M47)))</f>
        <v>SINAPI-101159</v>
      </c>
      <c r="X47" s="4">
        <f ca="1">IF(AND(Fonte&lt;&gt;"",Código&lt;&gt;""),MATCH(Fonte&amp;" "&amp;IF(Fonte="sinapi",SUBSTITUTE(SUBSTITUTE(Código,"/00","/"),"/0","/"),Código),INDIRECT("'[Referência "&amp;DATABASE&amp;".xls]Banco'!$a:$a"),0),"X")</f>
        <v>10725</v>
      </c>
      <c r="Y47" s="121">
        <v>166.88</v>
      </c>
      <c r="Z47" s="132">
        <f>ROUND(IF(ISNUMBER(R47),R47,IF(LEFT(R47,3)="BDI",HLOOKUP(R47,DADOS!$T$37:$X$38,2,FALSE),0)),15-11*$X$5)</f>
        <v>0.21</v>
      </c>
      <c r="AA47" s="4"/>
    </row>
    <row r="48" spans="1:27" ht="25.5">
      <c r="A48" t="str">
        <f>CHOOSE(1+LOG(1+2*(J48="Meta")+4*(J48="Nível 2")+8*(J48="Nível 3")+16*(J48="Nível 4")+32*(J48="Serviço"),2),0,1,2,3,4,"S")</f>
        <v>S</v>
      </c>
      <c r="B48">
        <f>IF(OR(A48="S",A48=0),0,IF(ISERROR(I48),H48,SMALL(H48:I48,1)))</f>
        <v>0</v>
      </c>
      <c r="C48">
        <f ca="1">IF($A48=1,OFFSET(C48,-1,0)+1,OFFSET(C48,-1,0))</f>
        <v>4</v>
      </c>
      <c r="D48">
        <f ca="1">IF($A48=1,0,IF($A48=2,OFFSET(D48,-1,0)+1,OFFSET(D48,-1,0)))</f>
        <v>0</v>
      </c>
      <c r="E48">
        <f ca="1">IF(AND($A48&lt;=2,$A48&lt;&gt;0),0,IF($A48=3,OFFSET(E48,-1,0)+1,OFFSET(E48,-1,0)))</f>
        <v>0</v>
      </c>
      <c r="F48">
        <f ca="1">IF(AND($A48&lt;=3,$A48&lt;&gt;0),0,IF($A48=4,OFFSET(F48,-1,0)+1,OFFSET(F48,-1,0)))</f>
        <v>0</v>
      </c>
      <c r="G48">
        <f ca="1">IF(AND($A48&lt;=4,$A48&lt;&gt;0),0,IF($A48="S",OFFSET(G48,-1,0)+1,OFFSET(G48,-1,0)))</f>
        <v>3</v>
      </c>
      <c r="H48">
        <f ca="1" t="shared" si="15"/>
        <v>0</v>
      </c>
      <c r="I48">
        <f ca="1" t="shared" si="16"/>
        <v>0</v>
      </c>
      <c r="J48" s="393" t="s">
        <v>103</v>
      </c>
      <c r="K48" s="162" t="str">
        <f>IF($A48=0,"-",CONCATENATE(C48&amp;".",IF(AND($A$5&gt;=2,$A48&gt;=2),D48&amp;".",""),IF(AND($A$5&gt;=3,$A48&gt;=3),E48&amp;".",""),IF(AND($A$5&gt;=4,$A48&gt;=4),F48&amp;".",""),IF($A48="S",G48&amp;".","")))</f>
        <v>4.0.3.</v>
      </c>
      <c r="L48" s="394" t="s">
        <v>233</v>
      </c>
      <c r="M48" s="394" t="s">
        <v>326</v>
      </c>
      <c r="N48" s="396" t="s">
        <v>408</v>
      </c>
      <c r="O48" s="397" t="s">
        <v>479</v>
      </c>
      <c r="P48" s="225">
        <f ca="1">OFFSET(PLQ!$E$12,ROW($P48)-ROW(P$12),0)</f>
        <v>32.64</v>
      </c>
      <c r="Q48" s="229"/>
      <c r="R48" s="232" t="s">
        <v>7</v>
      </c>
      <c r="S48" s="121">
        <f>IF($A48="S",IF($Q$10="Preço Unitário (R$)",PO.CustoUnitario,ROUND(PO.CustoUnitario*(1+$Z48),15-13*$X$6)),0)</f>
        <v>0</v>
      </c>
      <c r="T48" s="98">
        <f>IF($A48="S",VTOTAL1,IF($A48=0,0,ROUND(SomaAgrup,15-13*$X$7)))</f>
        <v>0</v>
      </c>
      <c r="U48" s="13" t="str">
        <f>IF($J48="","",IF($N48="","DESCRIÇÃO",IF(AND($J48="Serviço",$O48=""),"UNIDADE",IF($T48&lt;=0,"SEM VALOR",IF(AND($Y48&lt;&gt;"",$Q48&gt;$Y48),"ACIMA REF.","")))))</f>
        <v>SEM VALOR</v>
      </c>
      <c r="V48" s="4">
        <f ca="1">IF(OR($A48=0,$A48="S",$A48&gt;CFF!$A$9),"",MAX(V$12:OFFSET(V48,-1,0))+1)</f>
      </c>
      <c r="W48" s="9" t="str">
        <f>IF(AND($J48="Serviço",$M48&lt;&gt;""),IF($L48="",$M48,CONCATENATE($L48,"-",$M48)))</f>
        <v>SINAPI-96368</v>
      </c>
      <c r="X48" s="4">
        <f ca="1">IF(AND(Fonte&lt;&gt;"",Código&lt;&gt;""),MATCH(Fonte&amp;" "&amp;IF(Fonte="sinapi",SUBSTITUTE(SUBSTITUTE(Código,"/00","/"),"/0","/"),Código),INDIRECT("'[Referência "&amp;DATABASE&amp;".xls]Banco'!$a:$a"),0),"X")</f>
        <v>10790</v>
      </c>
      <c r="Y48" s="121">
        <v>247.6</v>
      </c>
      <c r="Z48" s="132">
        <f>ROUND(IF(ISNUMBER(R48),R48,IF(LEFT(R48,3)="BDI",HLOOKUP(R48,DADOS!$T$37:$X$38,2,FALSE),0)),15-11*$X$5)</f>
        <v>0.21</v>
      </c>
      <c r="AA48" s="4"/>
    </row>
    <row r="49" spans="1:27" ht="12.75">
      <c r="A49">
        <f t="shared" si="0"/>
        <v>1</v>
      </c>
      <c r="B49">
        <f t="shared" si="1"/>
        <v>4</v>
      </c>
      <c r="C49">
        <f ca="1" t="shared" si="2"/>
        <v>5</v>
      </c>
      <c r="D49">
        <f ca="1" t="shared" si="3"/>
        <v>0</v>
      </c>
      <c r="E49">
        <f ca="1" t="shared" si="4"/>
        <v>0</v>
      </c>
      <c r="F49">
        <f ca="1" t="shared" si="5"/>
        <v>0</v>
      </c>
      <c r="G49">
        <f ca="1" t="shared" si="6"/>
        <v>0</v>
      </c>
      <c r="H49">
        <f ca="1" t="shared" si="15"/>
        <v>118</v>
      </c>
      <c r="I49">
        <f ca="1" t="shared" si="16"/>
        <v>4</v>
      </c>
      <c r="J49" s="393" t="s">
        <v>99</v>
      </c>
      <c r="K49" s="162" t="str">
        <f t="shared" si="9"/>
        <v>5.</v>
      </c>
      <c r="L49" s="394"/>
      <c r="M49" s="394"/>
      <c r="N49" s="396" t="s">
        <v>307</v>
      </c>
      <c r="O49" s="397" t="s">
        <v>106</v>
      </c>
      <c r="P49" s="225">
        <f ca="1">OFFSET(PLQ!$E$12,ROW($P49)-ROW(P$12),0)</f>
        <v>0</v>
      </c>
      <c r="Q49" s="229"/>
      <c r="R49" s="232" t="s">
        <v>7</v>
      </c>
      <c r="S49" s="121">
        <f t="shared" si="10"/>
        <v>0</v>
      </c>
      <c r="T49" s="98">
        <f t="shared" si="11"/>
        <v>0</v>
      </c>
      <c r="U49" s="13" t="str">
        <f t="shared" si="12"/>
        <v>SEM VALOR</v>
      </c>
      <c r="V49" s="4">
        <f ca="1">IF(OR($A49=0,$A49="S",$A49&gt;CFF!$A$9),"",MAX(V$12:OFFSET(V49,-1,0))+1)</f>
        <v>10</v>
      </c>
      <c r="W49" s="9" t="b">
        <f t="shared" si="13"/>
        <v>0</v>
      </c>
      <c r="X49" s="4" t="str">
        <f ca="1" t="shared" si="14"/>
        <v>X</v>
      </c>
      <c r="Y49" s="121">
        <v>0</v>
      </c>
      <c r="Z49" s="132">
        <f>ROUND(IF(ISNUMBER(R49),R49,IF(LEFT(R49,3)="BDI",HLOOKUP(R49,DADOS!$T$37:$X$38,2,FALSE),0)),15-11*$X$5)</f>
        <v>0.21</v>
      </c>
      <c r="AA49" s="4"/>
    </row>
    <row r="50" spans="1:27" ht="25.5">
      <c r="A50" t="str">
        <f t="shared" si="0"/>
        <v>S</v>
      </c>
      <c r="B50">
        <f t="shared" si="1"/>
        <v>0</v>
      </c>
      <c r="C50">
        <f ca="1" t="shared" si="2"/>
        <v>5</v>
      </c>
      <c r="D50">
        <f ca="1" t="shared" si="3"/>
        <v>0</v>
      </c>
      <c r="E50">
        <f ca="1" t="shared" si="4"/>
        <v>0</v>
      </c>
      <c r="F50">
        <f ca="1" t="shared" si="5"/>
        <v>0</v>
      </c>
      <c r="G50">
        <f ca="1" t="shared" si="6"/>
        <v>1</v>
      </c>
      <c r="H50">
        <f ca="1" t="shared" si="15"/>
        <v>0</v>
      </c>
      <c r="I50">
        <f ca="1" t="shared" si="16"/>
        <v>0</v>
      </c>
      <c r="J50" s="393" t="s">
        <v>103</v>
      </c>
      <c r="K50" s="162" t="str">
        <f t="shared" si="9"/>
        <v>5.0.1.</v>
      </c>
      <c r="L50" s="394" t="s">
        <v>233</v>
      </c>
      <c r="M50" s="394" t="s">
        <v>297</v>
      </c>
      <c r="N50" s="396" t="s">
        <v>409</v>
      </c>
      <c r="O50" s="397" t="s">
        <v>479</v>
      </c>
      <c r="P50" s="225">
        <f ca="1">OFFSET(PLQ!$E$12,ROW($P50)-ROW(P$12),0)</f>
        <v>142.12</v>
      </c>
      <c r="Q50" s="229"/>
      <c r="R50" s="232" t="s">
        <v>7</v>
      </c>
      <c r="S50" s="121">
        <f t="shared" si="10"/>
        <v>0</v>
      </c>
      <c r="T50" s="98">
        <f t="shared" si="11"/>
        <v>0</v>
      </c>
      <c r="U50" s="13" t="str">
        <f t="shared" si="12"/>
        <v>SEM VALOR</v>
      </c>
      <c r="V50" s="4">
        <f ca="1">IF(OR($A50=0,$A50="S",$A50&gt;CFF!$A$9),"",MAX(V$12:OFFSET(V50,-1,0))+1)</f>
      </c>
      <c r="W50" s="9" t="str">
        <f t="shared" si="13"/>
        <v>SINAPI-87904</v>
      </c>
      <c r="X50" s="4">
        <f ca="1" t="shared" si="14"/>
        <v>11265</v>
      </c>
      <c r="Y50" s="121">
        <v>10.03</v>
      </c>
      <c r="Z50" s="132">
        <f>ROUND(IF(ISNUMBER(R50),R50,IF(LEFT(R50,3)="BDI",HLOOKUP(R50,DADOS!$T$37:$X$38,2,FALSE),0)),15-11*$X$5)</f>
        <v>0.21</v>
      </c>
      <c r="AA50" s="4"/>
    </row>
    <row r="51" spans="1:27" ht="38.25">
      <c r="A51" t="str">
        <f t="shared" si="0"/>
        <v>S</v>
      </c>
      <c r="B51">
        <f t="shared" si="1"/>
        <v>0</v>
      </c>
      <c r="C51">
        <f ca="1" t="shared" si="2"/>
        <v>5</v>
      </c>
      <c r="D51">
        <f ca="1" t="shared" si="3"/>
        <v>0</v>
      </c>
      <c r="E51">
        <f ca="1" t="shared" si="4"/>
        <v>0</v>
      </c>
      <c r="F51">
        <f ca="1" t="shared" si="5"/>
        <v>0</v>
      </c>
      <c r="G51">
        <f ca="1" t="shared" si="6"/>
        <v>2</v>
      </c>
      <c r="H51">
        <f ca="1" t="shared" si="15"/>
        <v>0</v>
      </c>
      <c r="I51">
        <f ca="1" t="shared" si="16"/>
        <v>0</v>
      </c>
      <c r="J51" s="393" t="s">
        <v>103</v>
      </c>
      <c r="K51" s="162" t="str">
        <f t="shared" si="9"/>
        <v>5.0.2.</v>
      </c>
      <c r="L51" s="394" t="s">
        <v>233</v>
      </c>
      <c r="M51" s="394" t="s">
        <v>298</v>
      </c>
      <c r="N51" s="396" t="s">
        <v>410</v>
      </c>
      <c r="O51" s="397" t="s">
        <v>479</v>
      </c>
      <c r="P51" s="225">
        <f ca="1">OFFSET(PLQ!$E$12,ROW($P51)-ROW(P$12),0)</f>
        <v>142.12</v>
      </c>
      <c r="Q51" s="229"/>
      <c r="R51" s="232" t="s">
        <v>7</v>
      </c>
      <c r="S51" s="121">
        <f t="shared" si="10"/>
        <v>0</v>
      </c>
      <c r="T51" s="98">
        <f t="shared" si="11"/>
        <v>0</v>
      </c>
      <c r="U51" s="13" t="str">
        <f t="shared" si="12"/>
        <v>SEM VALOR</v>
      </c>
      <c r="V51" s="4">
        <f ca="1">IF(OR($A51=0,$A51="S",$A51&gt;CFF!$A$9),"",MAX(V$12:OFFSET(V51,-1,0))+1)</f>
      </c>
      <c r="W51" s="9" t="str">
        <f t="shared" si="13"/>
        <v>SINAPI-87775</v>
      </c>
      <c r="X51" s="4">
        <f ca="1" t="shared" si="14"/>
        <v>11313</v>
      </c>
      <c r="Y51" s="121">
        <v>64.05</v>
      </c>
      <c r="Z51" s="132">
        <f>ROUND(IF(ISNUMBER(R51),R51,IF(LEFT(R51,3)="BDI",HLOOKUP(R51,DADOS!$T$37:$X$38,2,FALSE),0)),15-11*$X$5)</f>
        <v>0.21</v>
      </c>
      <c r="AA51" s="4"/>
    </row>
    <row r="52" spans="1:27" ht="12.75">
      <c r="A52" t="str">
        <f t="shared" si="0"/>
        <v>S</v>
      </c>
      <c r="B52">
        <f t="shared" si="1"/>
        <v>0</v>
      </c>
      <c r="C52">
        <f ca="1" t="shared" si="2"/>
        <v>5</v>
      </c>
      <c r="D52">
        <f ca="1" t="shared" si="3"/>
        <v>0</v>
      </c>
      <c r="E52">
        <f ca="1" t="shared" si="4"/>
        <v>0</v>
      </c>
      <c r="F52">
        <f ca="1" t="shared" si="5"/>
        <v>0</v>
      </c>
      <c r="G52">
        <f ca="1" t="shared" si="6"/>
        <v>3</v>
      </c>
      <c r="H52">
        <f ca="1" t="shared" si="15"/>
        <v>0</v>
      </c>
      <c r="I52">
        <f ca="1" t="shared" si="16"/>
        <v>0</v>
      </c>
      <c r="J52" s="393" t="s">
        <v>103</v>
      </c>
      <c r="K52" s="162" t="str">
        <f t="shared" si="9"/>
        <v>5.0.3.</v>
      </c>
      <c r="L52" s="395" t="s">
        <v>317</v>
      </c>
      <c r="M52" s="395" t="s">
        <v>253</v>
      </c>
      <c r="N52" s="396" t="s">
        <v>411</v>
      </c>
      <c r="O52" s="397" t="s">
        <v>483</v>
      </c>
      <c r="P52" s="225">
        <f ca="1">OFFSET(PLQ!$E$12,ROW($P52)-ROW(P$12),0)</f>
        <v>0.28</v>
      </c>
      <c r="Q52" s="229"/>
      <c r="R52" s="232" t="s">
        <v>7</v>
      </c>
      <c r="S52" s="121">
        <f t="shared" si="10"/>
        <v>0</v>
      </c>
      <c r="T52" s="98">
        <f t="shared" si="11"/>
        <v>0</v>
      </c>
      <c r="U52" s="13" t="str">
        <f t="shared" si="12"/>
        <v>SEM VALOR</v>
      </c>
      <c r="V52" s="4">
        <f ca="1">IF(OR($A52=0,$A52="S",$A52&gt;CFF!$A$9),"",MAX(V$12:OFFSET(V52,-1,0))+1)</f>
      </c>
      <c r="W52" s="9" t="str">
        <f t="shared" si="13"/>
        <v>COMPOSIÇÃO-1</v>
      </c>
      <c r="X52" s="4">
        <f ca="1" t="shared" si="14"/>
        <v>7</v>
      </c>
      <c r="Y52" s="121">
        <v>767.68</v>
      </c>
      <c r="Z52" s="132">
        <f>ROUND(IF(ISNUMBER(R52),R52,IF(LEFT(R52,3)="BDI",HLOOKUP(R52,DADOS!$T$37:$X$38,2,FALSE),0)),15-11*$X$5)</f>
        <v>0.21</v>
      </c>
      <c r="AA52" s="4"/>
    </row>
    <row r="53" spans="1:27" ht="12.75">
      <c r="A53">
        <f>CHOOSE(1+LOG(1+2*(J53="Meta")+4*(J53="Nível 2")+8*(J53="Nível 3")+16*(J53="Nível 4")+32*(J53="Serviço"),2),0,1,2,3,4,"S")</f>
        <v>1</v>
      </c>
      <c r="B53">
        <f>IF(OR(A53="S",A53=0),0,IF(ISERROR(I53),H53,SMALL(H53:I53,1)))</f>
        <v>12</v>
      </c>
      <c r="C53">
        <f ca="1">IF($A53=1,OFFSET(C53,-1,0)+1,OFFSET(C53,-1,0))</f>
        <v>6</v>
      </c>
      <c r="D53">
        <f ca="1">IF($A53=1,0,IF($A53=2,OFFSET(D53,-1,0)+1,OFFSET(D53,-1,0)))</f>
        <v>0</v>
      </c>
      <c r="E53">
        <f ca="1">IF(AND($A53&lt;=2,$A53&lt;&gt;0),0,IF($A53=3,OFFSET(E53,-1,0)+1,OFFSET(E53,-1,0)))</f>
        <v>0</v>
      </c>
      <c r="F53">
        <f ca="1">IF(AND($A53&lt;=3,$A53&lt;&gt;0),0,IF($A53=4,OFFSET(F53,-1,0)+1,OFFSET(F53,-1,0)))</f>
        <v>0</v>
      </c>
      <c r="G53">
        <f ca="1">IF(AND($A53&lt;=4,$A53&lt;&gt;0),0,IF($A53="S",OFFSET(G53,-1,0)+1,OFFSET(G53,-1,0)))</f>
        <v>0</v>
      </c>
      <c r="H53">
        <f ca="1" t="shared" si="15"/>
        <v>114</v>
      </c>
      <c r="I53">
        <f ca="1" t="shared" si="16"/>
        <v>12</v>
      </c>
      <c r="J53" s="393" t="s">
        <v>99</v>
      </c>
      <c r="K53" s="162" t="str">
        <f>IF($A53=0,"-",CONCATENATE(C53&amp;".",IF(AND($A$5&gt;=2,$A53&gt;=2),D53&amp;".",""),IF(AND($A$5&gt;=3,$A53&gt;=3),E53&amp;".",""),IF(AND($A$5&gt;=4,$A53&gt;=4),F53&amp;".",""),IF($A53="S",G53&amp;".","")))</f>
        <v>6.</v>
      </c>
      <c r="L53" s="394"/>
      <c r="M53" s="394"/>
      <c r="N53" s="396" t="s">
        <v>320</v>
      </c>
      <c r="O53" s="397" t="s">
        <v>106</v>
      </c>
      <c r="P53" s="225">
        <f ca="1">OFFSET(PLQ!$E$12,ROW($P53)-ROW(P$12),0)</f>
        <v>0</v>
      </c>
      <c r="Q53" s="229"/>
      <c r="R53" s="232" t="s">
        <v>7</v>
      </c>
      <c r="S53" s="121">
        <f>IF($A53="S",IF($Q$10="Preço Unitário (R$)",PO.CustoUnitario,ROUND(PO.CustoUnitario*(1+$Z53),15-13*$X$6)),0)</f>
        <v>0</v>
      </c>
      <c r="T53" s="98">
        <f>IF($A53="S",VTOTAL1,IF($A53=0,0,ROUND(SomaAgrup,15-13*$X$7)))</f>
        <v>0</v>
      </c>
      <c r="U53" s="13" t="str">
        <f>IF($J53="","",IF($N53="","DESCRIÇÃO",IF(AND($J53="Serviço",$O53=""),"UNIDADE",IF($T53&lt;=0,"SEM VALOR",IF(AND($Y53&lt;&gt;"",$Q53&gt;$Y53),"ACIMA REF.","")))))</f>
        <v>SEM VALOR</v>
      </c>
      <c r="V53" s="4">
        <f ca="1">IF(OR($A53=0,$A53="S",$A53&gt;CFF!$A$9),"",MAX(V$12:OFFSET(V53,-1,0))+1)</f>
        <v>11</v>
      </c>
      <c r="W53" s="9" t="b">
        <f>IF(AND($J53="Serviço",$M53&lt;&gt;""),IF($L53="",$M53,CONCATENATE($L53,"-",$M53)))</f>
        <v>0</v>
      </c>
      <c r="X53" s="4" t="str">
        <f ca="1">IF(AND(Fonte&lt;&gt;"",Código&lt;&gt;""),MATCH(Fonte&amp;" "&amp;IF(Fonte="sinapi",SUBSTITUTE(SUBSTITUTE(Código,"/00","/"),"/0","/"),Código),INDIRECT("'[Referência "&amp;DATABASE&amp;".xls]Banco'!$a:$a"),0),"X")</f>
        <v>X</v>
      </c>
      <c r="Y53" s="121">
        <v>0</v>
      </c>
      <c r="Z53" s="132">
        <f>ROUND(IF(ISNUMBER(R53),R53,IF(LEFT(R53,3)="BDI",HLOOKUP(R53,DADOS!$T$37:$X$38,2,FALSE),0)),15-11*$X$5)</f>
        <v>0.21</v>
      </c>
      <c r="AA53" s="4"/>
    </row>
    <row r="54" spans="1:27" ht="12.75">
      <c r="A54">
        <f t="shared" si="0"/>
        <v>2</v>
      </c>
      <c r="B54">
        <f t="shared" si="1"/>
        <v>3</v>
      </c>
      <c r="C54">
        <f ca="1" t="shared" si="2"/>
        <v>6</v>
      </c>
      <c r="D54">
        <f ca="1" t="shared" si="3"/>
        <v>1</v>
      </c>
      <c r="E54">
        <f ca="1" t="shared" si="4"/>
        <v>0</v>
      </c>
      <c r="F54">
        <f ca="1" t="shared" si="5"/>
        <v>0</v>
      </c>
      <c r="G54">
        <f ca="1" t="shared" si="6"/>
        <v>0</v>
      </c>
      <c r="H54">
        <f ca="1" t="shared" si="15"/>
        <v>11</v>
      </c>
      <c r="I54">
        <f ca="1" t="shared" si="16"/>
        <v>3</v>
      </c>
      <c r="J54" s="393" t="s">
        <v>100</v>
      </c>
      <c r="K54" s="162" t="str">
        <f t="shared" si="9"/>
        <v>6.1.</v>
      </c>
      <c r="L54" s="394"/>
      <c r="M54" s="394"/>
      <c r="N54" s="396" t="s">
        <v>318</v>
      </c>
      <c r="O54" s="397" t="s">
        <v>106</v>
      </c>
      <c r="P54" s="225">
        <f ca="1">OFFSET(PLQ!$E$12,ROW($P54)-ROW(P$12),0)</f>
        <v>0</v>
      </c>
      <c r="Q54" s="229"/>
      <c r="R54" s="232" t="s">
        <v>7</v>
      </c>
      <c r="S54" s="121">
        <f t="shared" si="10"/>
        <v>0</v>
      </c>
      <c r="T54" s="98">
        <f t="shared" si="11"/>
        <v>0</v>
      </c>
      <c r="U54" s="13" t="str">
        <f t="shared" si="12"/>
        <v>SEM VALOR</v>
      </c>
      <c r="V54" s="4">
        <f ca="1">IF(OR($A54=0,$A54="S",$A54&gt;CFF!$A$9),"",MAX(V$12:OFFSET(V54,-1,0))+1)</f>
        <v>12</v>
      </c>
      <c r="W54" s="9" t="b">
        <f t="shared" si="13"/>
        <v>0</v>
      </c>
      <c r="X54" s="4" t="str">
        <f ca="1" t="shared" si="14"/>
        <v>X</v>
      </c>
      <c r="Y54" s="121">
        <v>0</v>
      </c>
      <c r="Z54" s="132">
        <f>ROUND(IF(ISNUMBER(R54),R54,IF(LEFT(R54,3)="BDI",HLOOKUP(R54,DADOS!$T$37:$X$38,2,FALSE),0)),15-11*$X$5)</f>
        <v>0.21</v>
      </c>
      <c r="AA54" s="4"/>
    </row>
    <row r="55" spans="1:27" ht="12.75">
      <c r="A55" t="str">
        <f t="shared" si="0"/>
        <v>S</v>
      </c>
      <c r="B55">
        <f t="shared" si="1"/>
        <v>0</v>
      </c>
      <c r="C55">
        <f ca="1" t="shared" si="2"/>
        <v>6</v>
      </c>
      <c r="D55">
        <f ca="1" t="shared" si="3"/>
        <v>1</v>
      </c>
      <c r="E55">
        <f ca="1" t="shared" si="4"/>
        <v>0</v>
      </c>
      <c r="F55">
        <f ca="1" t="shared" si="5"/>
        <v>0</v>
      </c>
      <c r="G55">
        <f ca="1" t="shared" si="6"/>
        <v>1</v>
      </c>
      <c r="H55">
        <f ca="1" t="shared" si="15"/>
        <v>0</v>
      </c>
      <c r="I55">
        <f ca="1" t="shared" si="16"/>
        <v>0</v>
      </c>
      <c r="J55" s="393" t="s">
        <v>103</v>
      </c>
      <c r="K55" s="162" t="str">
        <f t="shared" si="9"/>
        <v>6.1.1.</v>
      </c>
      <c r="L55" s="394" t="s">
        <v>233</v>
      </c>
      <c r="M55" s="394" t="s">
        <v>353</v>
      </c>
      <c r="N55" s="396" t="s">
        <v>412</v>
      </c>
      <c r="O55" s="397" t="s">
        <v>479</v>
      </c>
      <c r="P55" s="225">
        <f ca="1">OFFSET(PLQ!$E$12,ROW($P55)-ROW(P$12),0)</f>
        <v>355.3</v>
      </c>
      <c r="Q55" s="229"/>
      <c r="R55" s="232" t="s">
        <v>7</v>
      </c>
      <c r="S55" s="121">
        <f t="shared" si="10"/>
        <v>0</v>
      </c>
      <c r="T55" s="98">
        <f t="shared" si="11"/>
        <v>0</v>
      </c>
      <c r="U55" s="13" t="str">
        <f t="shared" si="12"/>
        <v>SEM VALOR</v>
      </c>
      <c r="V55" s="4">
        <f ca="1">IF(OR($A55=0,$A55="S",$A55&gt;CFF!$A$9),"",MAX(V$12:OFFSET(V55,-1,0))+1)</f>
      </c>
      <c r="W55" s="9" t="str">
        <f t="shared" si="13"/>
        <v>SINAPI-101727</v>
      </c>
      <c r="X55" s="4">
        <f ca="1" t="shared" si="14"/>
        <v>11152</v>
      </c>
      <c r="Y55" s="121">
        <v>235.15</v>
      </c>
      <c r="Z55" s="132">
        <f>ROUND(IF(ISNUMBER(R55),R55,IF(LEFT(R55,3)="BDI",HLOOKUP(R55,DADOS!$T$37:$X$38,2,FALSE),0)),15-11*$X$5)</f>
        <v>0.21</v>
      </c>
      <c r="AA55" s="4"/>
    </row>
    <row r="56" spans="1:27" ht="12.75">
      <c r="A56" t="str">
        <f t="shared" si="0"/>
        <v>S</v>
      </c>
      <c r="B56">
        <f t="shared" si="1"/>
        <v>0</v>
      </c>
      <c r="C56">
        <f ca="1" t="shared" si="2"/>
        <v>6</v>
      </c>
      <c r="D56">
        <f ca="1" t="shared" si="3"/>
        <v>1</v>
      </c>
      <c r="E56">
        <f ca="1" t="shared" si="4"/>
        <v>0</v>
      </c>
      <c r="F56">
        <f ca="1" t="shared" si="5"/>
        <v>0</v>
      </c>
      <c r="G56">
        <f ca="1" t="shared" si="6"/>
        <v>2</v>
      </c>
      <c r="H56">
        <f ca="1" t="shared" si="15"/>
        <v>0</v>
      </c>
      <c r="I56">
        <f ca="1" t="shared" si="16"/>
        <v>0</v>
      </c>
      <c r="J56" s="393" t="s">
        <v>103</v>
      </c>
      <c r="K56" s="162" t="str">
        <f t="shared" si="9"/>
        <v>6.1.2.</v>
      </c>
      <c r="L56" s="394" t="s">
        <v>233</v>
      </c>
      <c r="M56" s="394" t="s">
        <v>301</v>
      </c>
      <c r="N56" s="396" t="s">
        <v>413</v>
      </c>
      <c r="O56" s="397" t="s">
        <v>480</v>
      </c>
      <c r="P56" s="225">
        <f ca="1">OFFSET(PLQ!$E$12,ROW($P56)-ROW(P$12),0)</f>
        <v>21.5</v>
      </c>
      <c r="Q56" s="229"/>
      <c r="R56" s="232" t="s">
        <v>7</v>
      </c>
      <c r="S56" s="121">
        <f t="shared" si="10"/>
        <v>0</v>
      </c>
      <c r="T56" s="98">
        <f t="shared" si="11"/>
        <v>0</v>
      </c>
      <c r="U56" s="13" t="str">
        <f t="shared" si="12"/>
        <v>SEM VALOR</v>
      </c>
      <c r="V56" s="4">
        <f ca="1">IF(OR($A56=0,$A56="S",$A56&gt;CFF!$A$9),"",MAX(V$12:OFFSET(V56,-1,0))+1)</f>
      </c>
      <c r="W56" s="9" t="str">
        <f t="shared" si="13"/>
        <v>SINAPI-98695</v>
      </c>
      <c r="X56" s="4">
        <f ca="1" t="shared" si="14"/>
        <v>11162</v>
      </c>
      <c r="Y56" s="121">
        <v>108.67</v>
      </c>
      <c r="Z56" s="132">
        <f>ROUND(IF(ISNUMBER(R56),R56,IF(LEFT(R56,3)="BDI",HLOOKUP(R56,DADOS!$T$37:$X$38,2,FALSE),0)),15-11*$X$5)</f>
        <v>0.21</v>
      </c>
      <c r="AA56" s="4"/>
    </row>
    <row r="57" spans="1:27" ht="12.75">
      <c r="A57">
        <f t="shared" si="0"/>
        <v>2</v>
      </c>
      <c r="B57">
        <f t="shared" si="1"/>
        <v>3</v>
      </c>
      <c r="C57">
        <f ca="1" t="shared" si="2"/>
        <v>6</v>
      </c>
      <c r="D57">
        <f ca="1" t="shared" si="3"/>
        <v>2</v>
      </c>
      <c r="E57">
        <f ca="1" t="shared" si="4"/>
        <v>0</v>
      </c>
      <c r="F57">
        <f ca="1" t="shared" si="5"/>
        <v>0</v>
      </c>
      <c r="G57">
        <f ca="1" t="shared" si="6"/>
        <v>0</v>
      </c>
      <c r="H57">
        <f ca="1" t="shared" si="15"/>
        <v>8</v>
      </c>
      <c r="I57">
        <f ca="1" t="shared" si="16"/>
        <v>3</v>
      </c>
      <c r="J57" s="393" t="s">
        <v>100</v>
      </c>
      <c r="K57" s="162" t="str">
        <f t="shared" si="9"/>
        <v>6.2.</v>
      </c>
      <c r="L57" s="394"/>
      <c r="M57" s="394"/>
      <c r="N57" s="396" t="s">
        <v>319</v>
      </c>
      <c r="O57" s="397" t="s">
        <v>106</v>
      </c>
      <c r="P57" s="225">
        <f ca="1">OFFSET(PLQ!$E$12,ROW($P57)-ROW(P$12),0)</f>
        <v>0</v>
      </c>
      <c r="Q57" s="229"/>
      <c r="R57" s="232" t="s">
        <v>7</v>
      </c>
      <c r="S57" s="121">
        <f t="shared" si="10"/>
        <v>0</v>
      </c>
      <c r="T57" s="98">
        <f t="shared" si="11"/>
        <v>0</v>
      </c>
      <c r="U57" s="13" t="str">
        <f t="shared" si="12"/>
        <v>SEM VALOR</v>
      </c>
      <c r="V57" s="4">
        <f ca="1">IF(OR($A57=0,$A57="S",$A57&gt;CFF!$A$9),"",MAX(V$12:OFFSET(V57,-1,0))+1)</f>
        <v>13</v>
      </c>
      <c r="W57" s="9" t="b">
        <f t="shared" si="13"/>
        <v>0</v>
      </c>
      <c r="X57" s="4" t="str">
        <f ca="1" t="shared" si="14"/>
        <v>X</v>
      </c>
      <c r="Y57" s="121">
        <v>0</v>
      </c>
      <c r="Z57" s="132">
        <f>ROUND(IF(ISNUMBER(R57),R57,IF(LEFT(R57,3)="BDI",HLOOKUP(R57,DADOS!$T$37:$X$38,2,FALSE),0)),15-11*$X$5)</f>
        <v>0.21</v>
      </c>
      <c r="AA57" s="4"/>
    </row>
    <row r="58" spans="1:27" ht="25.5">
      <c r="A58" t="str">
        <f t="shared" si="0"/>
        <v>S</v>
      </c>
      <c r="B58">
        <f t="shared" si="1"/>
        <v>0</v>
      </c>
      <c r="C58">
        <f ca="1" t="shared" si="2"/>
        <v>6</v>
      </c>
      <c r="D58">
        <f ca="1" t="shared" si="3"/>
        <v>2</v>
      </c>
      <c r="E58">
        <f ca="1" t="shared" si="4"/>
        <v>0</v>
      </c>
      <c r="F58">
        <f ca="1" t="shared" si="5"/>
        <v>0</v>
      </c>
      <c r="G58">
        <f ca="1" t="shared" si="6"/>
        <v>1</v>
      </c>
      <c r="H58">
        <f ca="1" t="shared" si="15"/>
        <v>0</v>
      </c>
      <c r="I58">
        <f ca="1" t="shared" si="16"/>
        <v>0</v>
      </c>
      <c r="J58" s="393" t="s">
        <v>103</v>
      </c>
      <c r="K58" s="162" t="str">
        <f t="shared" si="9"/>
        <v>6.2.1.</v>
      </c>
      <c r="L58" s="394" t="s">
        <v>233</v>
      </c>
      <c r="M58" s="394" t="s">
        <v>322</v>
      </c>
      <c r="N58" s="396" t="s">
        <v>414</v>
      </c>
      <c r="O58" s="397" t="s">
        <v>479</v>
      </c>
      <c r="P58" s="225">
        <f ca="1">OFFSET(PLQ!$E$12,ROW($P58)-ROW(P$12),0)</f>
        <v>55.2</v>
      </c>
      <c r="Q58" s="229"/>
      <c r="R58" s="232" t="s">
        <v>7</v>
      </c>
      <c r="S58" s="121">
        <f t="shared" si="10"/>
        <v>0</v>
      </c>
      <c r="T58" s="98">
        <f t="shared" si="11"/>
        <v>0</v>
      </c>
      <c r="U58" s="13" t="str">
        <f t="shared" si="12"/>
        <v>SEM VALOR</v>
      </c>
      <c r="V58" s="4">
        <f ca="1">IF(OR($A58=0,$A58="S",$A58&gt;CFF!$A$9),"",MAX(V$12:OFFSET(V58,-1,0))+1)</f>
      </c>
      <c r="W58" s="9" t="str">
        <f t="shared" si="13"/>
        <v>SINAPI-87260</v>
      </c>
      <c r="X58" s="4">
        <f ca="1" t="shared" si="14"/>
        <v>11107</v>
      </c>
      <c r="Y58" s="121">
        <v>150.48</v>
      </c>
      <c r="Z58" s="132">
        <f>ROUND(IF(ISNUMBER(R58),R58,IF(LEFT(R58,3)="BDI",HLOOKUP(R58,DADOS!$T$37:$X$38,2,FALSE),0)),15-11*$X$5)</f>
        <v>0.21</v>
      </c>
      <c r="AA58" s="4"/>
    </row>
    <row r="59" spans="1:27" ht="12.75">
      <c r="A59" t="str">
        <f t="shared" si="0"/>
        <v>S</v>
      </c>
      <c r="B59">
        <f t="shared" si="1"/>
        <v>0</v>
      </c>
      <c r="C59">
        <f ca="1" t="shared" si="2"/>
        <v>6</v>
      </c>
      <c r="D59">
        <f ca="1" t="shared" si="3"/>
        <v>2</v>
      </c>
      <c r="E59">
        <f ca="1" t="shared" si="4"/>
        <v>0</v>
      </c>
      <c r="F59">
        <f ca="1" t="shared" si="5"/>
        <v>0</v>
      </c>
      <c r="G59">
        <f ca="1" t="shared" si="6"/>
        <v>2</v>
      </c>
      <c r="H59">
        <f ca="1" t="shared" si="15"/>
        <v>0</v>
      </c>
      <c r="I59">
        <f ca="1" t="shared" si="16"/>
        <v>0</v>
      </c>
      <c r="J59" s="393" t="s">
        <v>103</v>
      </c>
      <c r="K59" s="162" t="str">
        <f t="shared" si="9"/>
        <v>6.2.2.</v>
      </c>
      <c r="L59" s="394" t="s">
        <v>233</v>
      </c>
      <c r="M59" s="394" t="s">
        <v>301</v>
      </c>
      <c r="N59" s="396" t="s">
        <v>413</v>
      </c>
      <c r="O59" s="397" t="s">
        <v>480</v>
      </c>
      <c r="P59" s="225">
        <f ca="1">OFFSET(PLQ!$E$12,ROW($P59)-ROW(P$12),0)</f>
        <v>14.5</v>
      </c>
      <c r="Q59" s="229"/>
      <c r="R59" s="232" t="s">
        <v>7</v>
      </c>
      <c r="S59" s="121">
        <f t="shared" si="10"/>
        <v>0</v>
      </c>
      <c r="T59" s="98">
        <f t="shared" si="11"/>
        <v>0</v>
      </c>
      <c r="U59" s="13" t="str">
        <f t="shared" si="12"/>
        <v>SEM VALOR</v>
      </c>
      <c r="V59" s="4">
        <f ca="1">IF(OR($A59=0,$A59="S",$A59&gt;CFF!$A$9),"",MAX(V$12:OFFSET(V59,-1,0))+1)</f>
      </c>
      <c r="W59" s="9" t="str">
        <f t="shared" si="13"/>
        <v>SINAPI-98695</v>
      </c>
      <c r="X59" s="4">
        <f ca="1" t="shared" si="14"/>
        <v>11162</v>
      </c>
      <c r="Y59" s="121">
        <v>108.67</v>
      </c>
      <c r="Z59" s="132">
        <f>ROUND(IF(ISNUMBER(R59),R59,IF(LEFT(R59,3)="BDI",HLOOKUP(R59,DADOS!$T$37:$X$38,2,FALSE),0)),15-11*$X$5)</f>
        <v>0.21</v>
      </c>
      <c r="AA59" s="4"/>
    </row>
    <row r="60" spans="1:27" ht="12.75">
      <c r="A60">
        <f t="shared" si="0"/>
        <v>2</v>
      </c>
      <c r="B60">
        <f t="shared" si="1"/>
        <v>2</v>
      </c>
      <c r="C60">
        <f ca="1" t="shared" si="2"/>
        <v>6</v>
      </c>
      <c r="D60">
        <f ca="1" t="shared" si="3"/>
        <v>3</v>
      </c>
      <c r="E60">
        <f ca="1" t="shared" si="4"/>
        <v>0</v>
      </c>
      <c r="F60">
        <f ca="1" t="shared" si="5"/>
        <v>0</v>
      </c>
      <c r="G60">
        <f ca="1" t="shared" si="6"/>
        <v>0</v>
      </c>
      <c r="H60">
        <f ca="1" t="shared" si="15"/>
        <v>5</v>
      </c>
      <c r="I60">
        <f ca="1" t="shared" si="16"/>
        <v>2</v>
      </c>
      <c r="J60" s="393" t="s">
        <v>100</v>
      </c>
      <c r="K60" s="162" t="str">
        <f t="shared" si="9"/>
        <v>6.3.</v>
      </c>
      <c r="L60" s="394"/>
      <c r="M60" s="394"/>
      <c r="N60" s="396" t="s">
        <v>321</v>
      </c>
      <c r="O60" s="397" t="s">
        <v>106</v>
      </c>
      <c r="P60" s="225">
        <f ca="1">OFFSET(PLQ!$E$12,ROW($P60)-ROW(P$12),0)</f>
        <v>0</v>
      </c>
      <c r="Q60" s="229"/>
      <c r="R60" s="232" t="s">
        <v>7</v>
      </c>
      <c r="S60" s="121">
        <f t="shared" si="10"/>
        <v>0</v>
      </c>
      <c r="T60" s="98">
        <f t="shared" si="11"/>
        <v>0</v>
      </c>
      <c r="U60" s="13" t="str">
        <f t="shared" si="12"/>
        <v>SEM VALOR</v>
      </c>
      <c r="V60" s="4">
        <f ca="1">IF(OR($A60=0,$A60="S",$A60&gt;CFF!$A$9),"",MAX(V$12:OFFSET(V60,-1,0))+1)</f>
        <v>14</v>
      </c>
      <c r="W60" s="9" t="b">
        <f t="shared" si="13"/>
        <v>0</v>
      </c>
      <c r="X60" s="4" t="str">
        <f ca="1" t="shared" si="14"/>
        <v>X</v>
      </c>
      <c r="Y60" s="121">
        <v>0</v>
      </c>
      <c r="Z60" s="132">
        <f>ROUND(IF(ISNUMBER(R60),R60,IF(LEFT(R60,3)="BDI",HLOOKUP(R60,DADOS!$T$37:$X$38,2,FALSE),0)),15-11*$X$5)</f>
        <v>0.21</v>
      </c>
      <c r="AA60" s="4"/>
    </row>
    <row r="61" spans="1:27" ht="25.5">
      <c r="A61" t="str">
        <f t="shared" si="0"/>
        <v>S</v>
      </c>
      <c r="B61">
        <f t="shared" si="1"/>
        <v>0</v>
      </c>
      <c r="C61">
        <f ca="1" t="shared" si="2"/>
        <v>6</v>
      </c>
      <c r="D61">
        <f ca="1" t="shared" si="3"/>
        <v>3</v>
      </c>
      <c r="E61">
        <f ca="1" t="shared" si="4"/>
        <v>0</v>
      </c>
      <c r="F61">
        <f ca="1" t="shared" si="5"/>
        <v>0</v>
      </c>
      <c r="G61">
        <f ca="1" t="shared" si="6"/>
        <v>1</v>
      </c>
      <c r="H61">
        <f ca="1" t="shared" si="15"/>
        <v>0</v>
      </c>
      <c r="I61">
        <f ca="1" t="shared" si="16"/>
        <v>0</v>
      </c>
      <c r="J61" s="393" t="s">
        <v>103</v>
      </c>
      <c r="K61" s="162" t="str">
        <f t="shared" si="9"/>
        <v>6.3.1.</v>
      </c>
      <c r="L61" s="394" t="s">
        <v>233</v>
      </c>
      <c r="M61" s="394" t="s">
        <v>299</v>
      </c>
      <c r="N61" s="396" t="s">
        <v>415</v>
      </c>
      <c r="O61" s="397" t="s">
        <v>479</v>
      </c>
      <c r="P61" s="225">
        <f ca="1">OFFSET(PLQ!$E$12,ROW($P61)-ROW(P$12),0)</f>
        <v>35.16</v>
      </c>
      <c r="Q61" s="229"/>
      <c r="R61" s="232" t="s">
        <v>7</v>
      </c>
      <c r="S61" s="121">
        <f t="shared" si="10"/>
        <v>0</v>
      </c>
      <c r="T61" s="98">
        <f t="shared" si="11"/>
        <v>0</v>
      </c>
      <c r="U61" s="13" t="str">
        <f t="shared" si="12"/>
        <v>SEM VALOR</v>
      </c>
      <c r="V61" s="4">
        <f ca="1">IF(OR($A61=0,$A61="S",$A61&gt;CFF!$A$9),"",MAX(V$12:OFFSET(V61,-1,0))+1)</f>
      </c>
      <c r="W61" s="9" t="str">
        <f t="shared" si="13"/>
        <v>SINAPI-104611</v>
      </c>
      <c r="X61" s="4">
        <f ca="1" t="shared" si="14"/>
        <v>11476</v>
      </c>
      <c r="Y61" s="121">
        <v>97.37</v>
      </c>
      <c r="Z61" s="132">
        <f>ROUND(IF(ISNUMBER(R61),R61,IF(LEFT(R61,3)="BDI",HLOOKUP(R61,DADOS!$T$37:$X$38,2,FALSE),0)),15-11*$X$5)</f>
        <v>0.21</v>
      </c>
      <c r="AA61" s="4"/>
    </row>
    <row r="62" spans="1:27" ht="12.75">
      <c r="A62">
        <f t="shared" si="0"/>
        <v>2</v>
      </c>
      <c r="B62">
        <f t="shared" si="1"/>
        <v>3</v>
      </c>
      <c r="C62">
        <f ca="1" t="shared" si="2"/>
        <v>6</v>
      </c>
      <c r="D62">
        <f ca="1" t="shared" si="3"/>
        <v>4</v>
      </c>
      <c r="E62">
        <f ca="1" t="shared" si="4"/>
        <v>0</v>
      </c>
      <c r="F62">
        <f ca="1" t="shared" si="5"/>
        <v>0</v>
      </c>
      <c r="G62">
        <f ca="1" t="shared" si="6"/>
        <v>0</v>
      </c>
      <c r="H62">
        <f ca="1" t="shared" si="15"/>
        <v>3</v>
      </c>
      <c r="I62">
        <f ca="1" t="shared" si="16"/>
        <v>81</v>
      </c>
      <c r="J62" s="393" t="s">
        <v>100</v>
      </c>
      <c r="K62" s="162" t="str">
        <f t="shared" si="9"/>
        <v>6.4.</v>
      </c>
      <c r="L62" s="394"/>
      <c r="M62" s="394"/>
      <c r="N62" s="396" t="s">
        <v>349</v>
      </c>
      <c r="O62" s="397" t="s">
        <v>106</v>
      </c>
      <c r="P62" s="225">
        <f ca="1">OFFSET(PLQ!$E$12,ROW($P62)-ROW(P$12),0)</f>
        <v>0</v>
      </c>
      <c r="Q62" s="229"/>
      <c r="R62" s="232" t="s">
        <v>7</v>
      </c>
      <c r="S62" s="121">
        <f t="shared" si="10"/>
        <v>0</v>
      </c>
      <c r="T62" s="98">
        <f t="shared" si="11"/>
        <v>0</v>
      </c>
      <c r="U62" s="13" t="str">
        <f t="shared" si="12"/>
        <v>SEM VALOR</v>
      </c>
      <c r="V62" s="4">
        <f ca="1">IF(OR($A62=0,$A62="S",$A62&gt;CFF!$A$9),"",MAX(V$12:OFFSET(V62,-1,0))+1)</f>
        <v>15</v>
      </c>
      <c r="W62" s="9" t="b">
        <f t="shared" si="13"/>
        <v>0</v>
      </c>
      <c r="X62" s="4" t="str">
        <f ca="1" t="shared" si="14"/>
        <v>X</v>
      </c>
      <c r="Y62" s="121">
        <v>0</v>
      </c>
      <c r="Z62" s="132">
        <f>ROUND(IF(ISNUMBER(R62),R62,IF(LEFT(R62,3)="BDI",HLOOKUP(R62,DADOS!$T$37:$X$38,2,FALSE),0)),15-11*$X$5)</f>
        <v>0.21</v>
      </c>
      <c r="AA62" s="4"/>
    </row>
    <row r="63" spans="1:27" ht="25.5">
      <c r="A63" t="str">
        <f t="shared" si="0"/>
        <v>S</v>
      </c>
      <c r="B63">
        <f t="shared" si="1"/>
        <v>0</v>
      </c>
      <c r="C63">
        <f ca="1" t="shared" si="2"/>
        <v>6</v>
      </c>
      <c r="D63">
        <f ca="1" t="shared" si="3"/>
        <v>4</v>
      </c>
      <c r="E63">
        <f ca="1" t="shared" si="4"/>
        <v>0</v>
      </c>
      <c r="F63">
        <f ca="1" t="shared" si="5"/>
        <v>0</v>
      </c>
      <c r="G63">
        <f ca="1" t="shared" si="6"/>
        <v>1</v>
      </c>
      <c r="H63">
        <f ca="1" t="shared" si="15"/>
        <v>0</v>
      </c>
      <c r="I63">
        <f ca="1" t="shared" si="16"/>
        <v>0</v>
      </c>
      <c r="J63" s="393" t="s">
        <v>103</v>
      </c>
      <c r="K63" s="162" t="str">
        <f t="shared" si="9"/>
        <v>6.4.1.</v>
      </c>
      <c r="L63" s="394" t="s">
        <v>233</v>
      </c>
      <c r="M63" s="394" t="s">
        <v>325</v>
      </c>
      <c r="N63" s="396" t="s">
        <v>416</v>
      </c>
      <c r="O63" s="397" t="s">
        <v>479</v>
      </c>
      <c r="P63" s="225">
        <f ca="1">OFFSET(PLQ!$E$12,ROW($P63)-ROW(P$12),0)</f>
        <v>108.29</v>
      </c>
      <c r="Q63" s="229"/>
      <c r="R63" s="232" t="s">
        <v>7</v>
      </c>
      <c r="S63" s="121">
        <f t="shared" si="10"/>
        <v>0</v>
      </c>
      <c r="T63" s="98">
        <f t="shared" si="11"/>
        <v>0</v>
      </c>
      <c r="U63" s="13" t="str">
        <f t="shared" si="12"/>
        <v>SEM VALOR</v>
      </c>
      <c r="V63" s="4">
        <f ca="1">IF(OR($A63=0,$A63="S",$A63&gt;CFF!$A$9),"",MAX(V$12:OFFSET(V63,-1,0))+1)</f>
      </c>
      <c r="W63" s="9" t="str">
        <f t="shared" si="13"/>
        <v>SINAPI-96114</v>
      </c>
      <c r="X63" s="4">
        <f ca="1" t="shared" si="14"/>
        <v>11494</v>
      </c>
      <c r="Y63" s="121">
        <v>105.66</v>
      </c>
      <c r="Z63" s="132">
        <f>ROUND(IF(ISNUMBER(R63),R63,IF(LEFT(R63,3)="BDI",HLOOKUP(R63,DADOS!$T$37:$X$38,2,FALSE),0)),15-11*$X$5)</f>
        <v>0.21</v>
      </c>
      <c r="AA63" s="4"/>
    </row>
    <row r="64" spans="1:27" ht="12.75">
      <c r="A64" t="str">
        <f>CHOOSE(1+LOG(1+2*(J64="Meta")+4*(J64="Nível 2")+8*(J64="Nível 3")+16*(J64="Nível 4")+32*(J64="Serviço"),2),0,1,2,3,4,"S")</f>
        <v>S</v>
      </c>
      <c r="B64">
        <f>IF(OR(A64="S",A64=0),0,IF(ISERROR(I64),H64,SMALL(H64:I64,1)))</f>
        <v>0</v>
      </c>
      <c r="C64">
        <f ca="1">IF($A64=1,OFFSET(C64,-1,0)+1,OFFSET(C64,-1,0))</f>
        <v>6</v>
      </c>
      <c r="D64">
        <f ca="1">IF($A64=1,0,IF($A64=2,OFFSET(D64,-1,0)+1,OFFSET(D64,-1,0)))</f>
        <v>4</v>
      </c>
      <c r="E64">
        <f ca="1">IF(AND($A64&lt;=2,$A64&lt;&gt;0),0,IF($A64=3,OFFSET(E64,-1,0)+1,OFFSET(E64,-1,0)))</f>
        <v>0</v>
      </c>
      <c r="F64">
        <f ca="1">IF(AND($A64&lt;=3,$A64&lt;&gt;0),0,IF($A64=4,OFFSET(F64,-1,0)+1,OFFSET(F64,-1,0)))</f>
        <v>0</v>
      </c>
      <c r="G64">
        <f ca="1">IF(AND($A64&lt;=4,$A64&lt;&gt;0),0,IF($A64="S",OFFSET(G64,-1,0)+1,OFFSET(G64,-1,0)))</f>
        <v>2</v>
      </c>
      <c r="H64">
        <f ca="1" t="shared" si="15"/>
        <v>0</v>
      </c>
      <c r="I64">
        <f ca="1" t="shared" si="16"/>
        <v>0</v>
      </c>
      <c r="J64" s="393" t="s">
        <v>103</v>
      </c>
      <c r="K64" s="162" t="str">
        <f>IF($A64=0,"-",CONCATENATE(C64&amp;".",IF(AND($A$5&gt;=2,$A64&gt;=2),D64&amp;".",""),IF(AND($A$5&gt;=3,$A64&gt;=3),E64&amp;".",""),IF(AND($A$5&gt;=4,$A64&gt;=4),F64&amp;".",""),IF($A64="S",G64&amp;".","")))</f>
        <v>6.4.2.</v>
      </c>
      <c r="L64" s="394" t="s">
        <v>317</v>
      </c>
      <c r="M64" s="394" t="s">
        <v>302</v>
      </c>
      <c r="N64" s="396" t="s">
        <v>417</v>
      </c>
      <c r="O64" s="397" t="s">
        <v>484</v>
      </c>
      <c r="P64" s="225">
        <f ca="1">OFFSET(PLQ!$E$12,ROW($P64)-ROW(P$12),0)</f>
        <v>50</v>
      </c>
      <c r="Q64" s="229"/>
      <c r="R64" s="232" t="s">
        <v>7</v>
      </c>
      <c r="S64" s="121">
        <f>IF($A64="S",IF($Q$10="Preço Unitário (R$)",PO.CustoUnitario,ROUND(PO.CustoUnitario*(1+$Z64),15-13*$X$6)),0)</f>
        <v>0</v>
      </c>
      <c r="T64" s="98">
        <f>IF($A64="S",VTOTAL1,IF($A64=0,0,ROUND(SomaAgrup,15-13*$X$7)))</f>
        <v>0</v>
      </c>
      <c r="U64" s="13" t="str">
        <f>IF($J64="","",IF($N64="","DESCRIÇÃO",IF(AND($J64="Serviço",$O64=""),"UNIDADE",IF($T64&lt;=0,"SEM VALOR",IF(AND($Y64&lt;&gt;"",$Q64&gt;$Y64),"ACIMA REF.","")))))</f>
        <v>SEM VALOR</v>
      </c>
      <c r="V64" s="4">
        <f ca="1">IF(OR($A64=0,$A64="S",$A64&gt;CFF!$A$9),"",MAX(V$12:OFFSET(V64,-1,0))+1)</f>
      </c>
      <c r="W64" s="9" t="str">
        <f>IF(AND($J64="Serviço",$M64&lt;&gt;""),IF($L64="",$M64,CONCATENATE($L64,"-",$M64)))</f>
        <v>COMPOSIÇÃO-2</v>
      </c>
      <c r="X64" s="4">
        <f ca="1">IF(AND(Fonte&lt;&gt;"",Código&lt;&gt;""),MATCH(Fonte&amp;" "&amp;IF(Fonte="sinapi",SUBSTITUTE(SUBSTITUTE(Código,"/00","/"),"/0","/"),Código),INDIRECT("'[Referência "&amp;DATABASE&amp;".xls]Banco'!$a:$a"),0),"X")</f>
        <v>14</v>
      </c>
      <c r="Y64" s="121">
        <v>16.49</v>
      </c>
      <c r="Z64" s="132">
        <f>ROUND(IF(ISNUMBER(R64),R64,IF(LEFT(R64,3)="BDI",HLOOKUP(R64,DADOS!$T$37:$X$38,2,FALSE),0)),15-11*$X$5)</f>
        <v>0.21</v>
      </c>
      <c r="AA64" s="4"/>
    </row>
    <row r="65" spans="1:27" ht="12.75">
      <c r="A65">
        <f t="shared" si="0"/>
        <v>1</v>
      </c>
      <c r="B65">
        <f t="shared" si="1"/>
        <v>44</v>
      </c>
      <c r="C65">
        <f ca="1" t="shared" si="2"/>
        <v>7</v>
      </c>
      <c r="D65">
        <f ca="1" t="shared" si="3"/>
        <v>0</v>
      </c>
      <c r="E65">
        <f ca="1" t="shared" si="4"/>
        <v>0</v>
      </c>
      <c r="F65">
        <f ca="1" t="shared" si="5"/>
        <v>0</v>
      </c>
      <c r="G65">
        <f ca="1" t="shared" si="6"/>
        <v>0</v>
      </c>
      <c r="H65">
        <f ca="1" t="shared" si="15"/>
        <v>102</v>
      </c>
      <c r="I65">
        <f ca="1" t="shared" si="16"/>
        <v>44</v>
      </c>
      <c r="J65" s="393" t="s">
        <v>99</v>
      </c>
      <c r="K65" s="162" t="str">
        <f t="shared" si="9"/>
        <v>7.</v>
      </c>
      <c r="L65" s="394"/>
      <c r="M65" s="394"/>
      <c r="N65" s="396" t="s">
        <v>258</v>
      </c>
      <c r="O65" s="397" t="s">
        <v>106</v>
      </c>
      <c r="P65" s="225">
        <f ca="1">OFFSET(PLQ!$E$12,ROW($P65)-ROW(P$12),0)</f>
        <v>0</v>
      </c>
      <c r="Q65" s="229"/>
      <c r="R65" s="232" t="s">
        <v>7</v>
      </c>
      <c r="S65" s="121">
        <f t="shared" si="10"/>
        <v>0</v>
      </c>
      <c r="T65" s="98">
        <f t="shared" si="11"/>
        <v>0</v>
      </c>
      <c r="U65" s="13" t="str">
        <f t="shared" si="12"/>
        <v>SEM VALOR</v>
      </c>
      <c r="V65" s="4">
        <f ca="1">IF(OR($A65=0,$A65="S",$A65&gt;CFF!$A$9),"",MAX(V$12:OFFSET(V65,-1,0))+1)</f>
        <v>16</v>
      </c>
      <c r="W65" s="9" t="b">
        <f t="shared" si="13"/>
        <v>0</v>
      </c>
      <c r="X65" s="4" t="str">
        <f ca="1" t="shared" si="14"/>
        <v>X</v>
      </c>
      <c r="Y65" s="121">
        <v>0</v>
      </c>
      <c r="Z65" s="132">
        <f>ROUND(IF(ISNUMBER(R65),R65,IF(LEFT(R65,3)="BDI",HLOOKUP(R65,DADOS!$T$37:$X$38,2,FALSE),0)),15-11*$X$5)</f>
        <v>0.21</v>
      </c>
      <c r="AA65" s="4"/>
    </row>
    <row r="66" spans="1:27" ht="12.75">
      <c r="A66">
        <f t="shared" si="0"/>
        <v>2</v>
      </c>
      <c r="B66">
        <f t="shared" si="1"/>
        <v>4</v>
      </c>
      <c r="C66">
        <f ca="1" t="shared" si="2"/>
        <v>7</v>
      </c>
      <c r="D66">
        <f ca="1" t="shared" si="3"/>
        <v>1</v>
      </c>
      <c r="E66">
        <f ca="1" t="shared" si="4"/>
        <v>0</v>
      </c>
      <c r="F66">
        <f ca="1" t="shared" si="5"/>
        <v>0</v>
      </c>
      <c r="G66">
        <f ca="1" t="shared" si="6"/>
        <v>0</v>
      </c>
      <c r="H66">
        <f ca="1" t="shared" si="15"/>
        <v>43</v>
      </c>
      <c r="I66">
        <f ca="1" t="shared" si="16"/>
        <v>4</v>
      </c>
      <c r="J66" s="393" t="s">
        <v>100</v>
      </c>
      <c r="K66" s="162" t="str">
        <f t="shared" si="9"/>
        <v>7.1.</v>
      </c>
      <c r="L66" s="394"/>
      <c r="M66" s="394"/>
      <c r="N66" s="396" t="s">
        <v>259</v>
      </c>
      <c r="O66" s="397" t="s">
        <v>106</v>
      </c>
      <c r="P66" s="225">
        <f ca="1">OFFSET(PLQ!$E$12,ROW($P66)-ROW(P$12),0)</f>
        <v>0</v>
      </c>
      <c r="Q66" s="229"/>
      <c r="R66" s="232" t="s">
        <v>7</v>
      </c>
      <c r="S66" s="121">
        <f t="shared" si="10"/>
        <v>0</v>
      </c>
      <c r="T66" s="98">
        <f t="shared" si="11"/>
        <v>0</v>
      </c>
      <c r="U66" s="13" t="str">
        <f t="shared" si="12"/>
        <v>SEM VALOR</v>
      </c>
      <c r="V66" s="4">
        <f ca="1">IF(OR($A66=0,$A66="S",$A66&gt;CFF!$A$9),"",MAX(V$12:OFFSET(V66,-1,0))+1)</f>
        <v>17</v>
      </c>
      <c r="W66" s="9" t="b">
        <f t="shared" si="13"/>
        <v>0</v>
      </c>
      <c r="X66" s="4" t="str">
        <f ca="1" t="shared" si="14"/>
        <v>X</v>
      </c>
      <c r="Y66" s="121">
        <v>0</v>
      </c>
      <c r="Z66" s="132">
        <f>ROUND(IF(ISNUMBER(R66),R66,IF(LEFT(R66,3)="BDI",HLOOKUP(R66,DADOS!$T$37:$X$38,2,FALSE),0)),15-11*$X$5)</f>
        <v>0.21</v>
      </c>
      <c r="AA66" s="4"/>
    </row>
    <row r="67" spans="1:27" ht="12.75">
      <c r="A67" t="str">
        <f t="shared" si="0"/>
        <v>S</v>
      </c>
      <c r="B67">
        <f t="shared" si="1"/>
        <v>0</v>
      </c>
      <c r="C67">
        <f ca="1" t="shared" si="2"/>
        <v>7</v>
      </c>
      <c r="D67">
        <f ca="1" t="shared" si="3"/>
        <v>1</v>
      </c>
      <c r="E67">
        <f ca="1" t="shared" si="4"/>
        <v>0</v>
      </c>
      <c r="F67">
        <f ca="1" t="shared" si="5"/>
        <v>0</v>
      </c>
      <c r="G67">
        <f ca="1" t="shared" si="6"/>
        <v>1</v>
      </c>
      <c r="H67">
        <f ca="1" t="shared" si="15"/>
        <v>0</v>
      </c>
      <c r="I67">
        <f ca="1" t="shared" si="16"/>
        <v>0</v>
      </c>
      <c r="J67" s="393" t="s">
        <v>103</v>
      </c>
      <c r="K67" s="162" t="str">
        <f t="shared" si="9"/>
        <v>7.1.1.</v>
      </c>
      <c r="L67" s="394" t="s">
        <v>260</v>
      </c>
      <c r="M67" s="394" t="s">
        <v>261</v>
      </c>
      <c r="N67" s="396" t="s">
        <v>418</v>
      </c>
      <c r="O67" s="397" t="s">
        <v>485</v>
      </c>
      <c r="P67" s="225">
        <f ca="1">OFFSET(PLQ!$E$12,ROW($P67)-ROW(P$12),0)</f>
        <v>24</v>
      </c>
      <c r="Q67" s="229"/>
      <c r="R67" s="232" t="s">
        <v>7</v>
      </c>
      <c r="S67" s="121">
        <f t="shared" si="10"/>
        <v>0</v>
      </c>
      <c r="T67" s="98">
        <f t="shared" si="11"/>
        <v>0</v>
      </c>
      <c r="U67" s="13" t="str">
        <f t="shared" si="12"/>
        <v>SEM VALOR</v>
      </c>
      <c r="V67" s="4">
        <f ca="1">IF(OR($A67=0,$A67="S",$A67&gt;CFF!$A$9),"",MAX(V$12:OFFSET(V67,-1,0))+1)</f>
      </c>
      <c r="W67" s="9" t="str">
        <f t="shared" si="13"/>
        <v>SINAPI-I-9868</v>
      </c>
      <c r="X67" s="4">
        <f ca="1" t="shared" si="14"/>
        <v>4739</v>
      </c>
      <c r="Y67" s="121">
        <v>5.82</v>
      </c>
      <c r="Z67" s="132">
        <f>ROUND(IF(ISNUMBER(R67),R67,IF(LEFT(R67,3)="BDI",HLOOKUP(R67,DADOS!$T$37:$X$38,2,FALSE),0)),15-11*$X$5)</f>
        <v>0.21</v>
      </c>
      <c r="AA67" s="4"/>
    </row>
    <row r="68" spans="1:27" ht="25.5">
      <c r="A68" t="str">
        <f t="shared" si="0"/>
        <v>S</v>
      </c>
      <c r="B68">
        <f t="shared" si="1"/>
        <v>0</v>
      </c>
      <c r="C68">
        <f ca="1" t="shared" si="2"/>
        <v>7</v>
      </c>
      <c r="D68">
        <f ca="1" t="shared" si="3"/>
        <v>1</v>
      </c>
      <c r="E68">
        <f ca="1" t="shared" si="4"/>
        <v>0</v>
      </c>
      <c r="F68">
        <f ca="1" t="shared" si="5"/>
        <v>0</v>
      </c>
      <c r="G68">
        <f ca="1" t="shared" si="6"/>
        <v>2</v>
      </c>
      <c r="H68">
        <f ca="1" t="shared" si="15"/>
        <v>0</v>
      </c>
      <c r="I68">
        <f ca="1" t="shared" si="16"/>
        <v>0</v>
      </c>
      <c r="J68" s="393" t="s">
        <v>103</v>
      </c>
      <c r="K68" s="162" t="str">
        <f t="shared" si="9"/>
        <v>7.1.2.</v>
      </c>
      <c r="L68" s="394" t="s">
        <v>233</v>
      </c>
      <c r="M68" s="394" t="s">
        <v>262</v>
      </c>
      <c r="N68" s="396" t="s">
        <v>419</v>
      </c>
      <c r="O68" s="397" t="s">
        <v>481</v>
      </c>
      <c r="P68" s="225">
        <f ca="1">OFFSET(PLQ!$E$12,ROW($P68)-ROW(P$12),0)</f>
        <v>6</v>
      </c>
      <c r="Q68" s="229"/>
      <c r="R68" s="232" t="s">
        <v>7</v>
      </c>
      <c r="S68" s="121">
        <f t="shared" si="10"/>
        <v>0</v>
      </c>
      <c r="T68" s="98">
        <f t="shared" si="11"/>
        <v>0</v>
      </c>
      <c r="U68" s="13" t="str">
        <f t="shared" si="12"/>
        <v>SEM VALOR</v>
      </c>
      <c r="V68" s="4">
        <f ca="1">IF(OR($A68=0,$A68="S",$A68&gt;CFF!$A$9),"",MAX(V$12:OFFSET(V68,-1,0))+1)</f>
      </c>
      <c r="W68" s="9" t="str">
        <f t="shared" si="13"/>
        <v>SINAPI-89617</v>
      </c>
      <c r="X68" s="4">
        <f ca="1" t="shared" si="14"/>
        <v>8844</v>
      </c>
      <c r="Y68" s="121">
        <v>9.72</v>
      </c>
      <c r="Z68" s="132">
        <f>ROUND(IF(ISNUMBER(R68),R68,IF(LEFT(R68,3)="BDI",HLOOKUP(R68,DADOS!$T$37:$X$38,2,FALSE),0)),15-11*$X$5)</f>
        <v>0.21</v>
      </c>
      <c r="AA68" s="4"/>
    </row>
    <row r="69" spans="1:27" ht="12.75">
      <c r="A69" t="str">
        <f t="shared" si="0"/>
        <v>S</v>
      </c>
      <c r="B69">
        <f t="shared" si="1"/>
        <v>0</v>
      </c>
      <c r="C69">
        <f ca="1" t="shared" si="2"/>
        <v>7</v>
      </c>
      <c r="D69">
        <f ca="1" t="shared" si="3"/>
        <v>1</v>
      </c>
      <c r="E69">
        <f ca="1" t="shared" si="4"/>
        <v>0</v>
      </c>
      <c r="F69">
        <f ca="1" t="shared" si="5"/>
        <v>0</v>
      </c>
      <c r="G69">
        <f ca="1" t="shared" si="6"/>
        <v>3</v>
      </c>
      <c r="H69">
        <f ca="1" t="shared" si="15"/>
        <v>0</v>
      </c>
      <c r="I69">
        <f ca="1" t="shared" si="16"/>
        <v>0</v>
      </c>
      <c r="J69" s="393" t="s">
        <v>103</v>
      </c>
      <c r="K69" s="162" t="str">
        <f t="shared" si="9"/>
        <v>7.1.3.</v>
      </c>
      <c r="L69" s="394" t="s">
        <v>260</v>
      </c>
      <c r="M69" s="394" t="s">
        <v>263</v>
      </c>
      <c r="N69" s="396" t="s">
        <v>420</v>
      </c>
      <c r="O69" s="397" t="s">
        <v>486</v>
      </c>
      <c r="P69" s="225">
        <f ca="1">OFFSET(PLQ!$E$12,ROW($P69)-ROW(P$12),0)</f>
        <v>6</v>
      </c>
      <c r="Q69" s="229"/>
      <c r="R69" s="232" t="s">
        <v>7</v>
      </c>
      <c r="S69" s="121">
        <f t="shared" si="10"/>
        <v>0</v>
      </c>
      <c r="T69" s="98">
        <f t="shared" si="11"/>
        <v>0</v>
      </c>
      <c r="U69" s="13" t="str">
        <f t="shared" si="12"/>
        <v>SEM VALOR</v>
      </c>
      <c r="V69" s="4">
        <f ca="1">IF(OR($A69=0,$A69="S",$A69&gt;CFF!$A$9),"",MAX(V$12:OFFSET(V69,-1,0))+1)</f>
      </c>
      <c r="W69" s="9" t="str">
        <f t="shared" si="13"/>
        <v>SINAPI-I-3904</v>
      </c>
      <c r="X69" s="4">
        <f ca="1" t="shared" si="14"/>
        <v>2804</v>
      </c>
      <c r="Y69" s="121">
        <v>1.15</v>
      </c>
      <c r="Z69" s="132">
        <f>ROUND(IF(ISNUMBER(R69),R69,IF(LEFT(R69,3)="BDI",HLOOKUP(R69,DADOS!$T$37:$X$38,2,FALSE),0)),15-11*$X$5)</f>
        <v>0.21</v>
      </c>
      <c r="AA69" s="4"/>
    </row>
    <row r="70" spans="1:27" ht="12.75">
      <c r="A70">
        <f aca="true" t="shared" si="17" ref="A70:A118">CHOOSE(1+LOG(1+2*(J70="Meta")+4*(J70="Nível 2")+8*(J70="Nível 3")+16*(J70="Nível 4")+32*(J70="Serviço"),2),0,1,2,3,4,"S")</f>
        <v>2</v>
      </c>
      <c r="B70">
        <f aca="true" t="shared" si="18" ref="B70:B118">IF(OR(A70="S",A70=0),0,IF(ISERROR(I70),H70,SMALL(H70:I70,1)))</f>
        <v>20</v>
      </c>
      <c r="C70">
        <f aca="true" ca="1" t="shared" si="19" ref="C70:C118">IF($A70=1,OFFSET(C70,-1,0)+1,OFFSET(C70,-1,0))</f>
        <v>7</v>
      </c>
      <c r="D70">
        <f aca="true" ca="1" t="shared" si="20" ref="D70:D118">IF($A70=1,0,IF($A70=2,OFFSET(D70,-1,0)+1,OFFSET(D70,-1,0)))</f>
        <v>2</v>
      </c>
      <c r="E70">
        <f aca="true" ca="1" t="shared" si="21" ref="E70:E118">IF(AND($A70&lt;=2,$A70&lt;&gt;0),0,IF($A70=3,OFFSET(E70,-1,0)+1,OFFSET(E70,-1,0)))</f>
        <v>0</v>
      </c>
      <c r="F70">
        <f aca="true" ca="1" t="shared" si="22" ref="F70:F118">IF(AND($A70&lt;=3,$A70&lt;&gt;0),0,IF($A70=4,OFFSET(F70,-1,0)+1,OFFSET(F70,-1,0)))</f>
        <v>0</v>
      </c>
      <c r="G70">
        <f aca="true" ca="1" t="shared" si="23" ref="G70:G118">IF(AND($A70&lt;=4,$A70&lt;&gt;0),0,IF($A70="S",OFFSET(G70,-1,0)+1,OFFSET(G70,-1,0)))</f>
        <v>0</v>
      </c>
      <c r="H70">
        <f ca="1" t="shared" si="15"/>
        <v>39</v>
      </c>
      <c r="I70">
        <f ca="1" t="shared" si="16"/>
        <v>20</v>
      </c>
      <c r="J70" s="393" t="s">
        <v>100</v>
      </c>
      <c r="K70" s="162" t="str">
        <f aca="true" t="shared" si="24" ref="K70:K118">IF($A70=0,"-",CONCATENATE(C70&amp;".",IF(AND($A$5&gt;=2,$A70&gt;=2),D70&amp;".",""),IF(AND($A$5&gt;=3,$A70&gt;=3),E70&amp;".",""),IF(AND($A$5&gt;=4,$A70&gt;=4),F70&amp;".",""),IF($A70="S",G70&amp;".","")))</f>
        <v>7.2.</v>
      </c>
      <c r="L70" s="394"/>
      <c r="M70" s="394"/>
      <c r="N70" s="396" t="s">
        <v>264</v>
      </c>
      <c r="O70" s="397" t="s">
        <v>106</v>
      </c>
      <c r="P70" s="225">
        <f ca="1">OFFSET(PLQ!$E$12,ROW($P70)-ROW(P$12),0)</f>
        <v>0</v>
      </c>
      <c r="Q70" s="229"/>
      <c r="R70" s="232" t="s">
        <v>7</v>
      </c>
      <c r="S70" s="121">
        <f aca="true" t="shared" si="25" ref="S70:S95">IF($A70="S",IF($Q$10="Preço Unitário (R$)",PO.CustoUnitario,ROUND(PO.CustoUnitario*(1+$Z70),15-13*$X$6)),0)</f>
        <v>0</v>
      </c>
      <c r="T70" s="98">
        <f aca="true" t="shared" si="26" ref="T70:T95">IF($A70="S",VTOTAL1,IF($A70=0,0,ROUND(SomaAgrup,15-13*$X$7)))</f>
        <v>0</v>
      </c>
      <c r="U70" s="13" t="str">
        <f aca="true" t="shared" si="27" ref="U70:U118">IF($J70="","",IF($N70="","DESCRIÇÃO",IF(AND($J70="Serviço",$O70=""),"UNIDADE",IF($T70&lt;=0,"SEM VALOR",IF(AND($Y70&lt;&gt;"",$Q70&gt;$Y70),"ACIMA REF.","")))))</f>
        <v>SEM VALOR</v>
      </c>
      <c r="V70" s="4">
        <f ca="1">IF(OR($A70=0,$A70="S",$A70&gt;CFF!$A$9),"",MAX(V$12:OFFSET(V70,-1,0))+1)</f>
        <v>18</v>
      </c>
      <c r="W70" s="9" t="b">
        <f aca="true" t="shared" si="28" ref="W70:W118">IF(AND($J70="Serviço",$M70&lt;&gt;""),IF($L70="",$M70,CONCATENATE($L70,"-",$M70)))</f>
        <v>0</v>
      </c>
      <c r="X70" s="4" t="str">
        <f aca="true" ca="1" t="shared" si="29" ref="X70:X95">IF(AND(Fonte&lt;&gt;"",Código&lt;&gt;""),MATCH(Fonte&amp;" "&amp;IF(Fonte="sinapi",SUBSTITUTE(SUBSTITUTE(Código,"/00","/"),"/0","/"),Código),INDIRECT("'[Referência "&amp;DATABASE&amp;".xls]Banco'!$a:$a"),0),"X")</f>
        <v>X</v>
      </c>
      <c r="Y70" s="121">
        <v>0</v>
      </c>
      <c r="Z70" s="132">
        <f>ROUND(IF(ISNUMBER(R70),R70,IF(LEFT(R70,3)="BDI",HLOOKUP(R70,DADOS!$T$37:$X$38,2,FALSE),0)),15-11*$X$5)</f>
        <v>0.21</v>
      </c>
      <c r="AA70" s="4"/>
    </row>
    <row r="71" spans="1:27" ht="25.5">
      <c r="A71" t="str">
        <f t="shared" si="17"/>
        <v>S</v>
      </c>
      <c r="B71">
        <f t="shared" si="18"/>
        <v>0</v>
      </c>
      <c r="C71">
        <f ca="1" t="shared" si="19"/>
        <v>7</v>
      </c>
      <c r="D71">
        <f ca="1" t="shared" si="20"/>
        <v>2</v>
      </c>
      <c r="E71">
        <f ca="1" t="shared" si="21"/>
        <v>0</v>
      </c>
      <c r="F71">
        <f ca="1" t="shared" si="22"/>
        <v>0</v>
      </c>
      <c r="G71">
        <f ca="1" t="shared" si="23"/>
        <v>1</v>
      </c>
      <c r="H71">
        <f ca="1" t="shared" si="15"/>
        <v>0</v>
      </c>
      <c r="I71">
        <f ca="1" t="shared" si="16"/>
        <v>0</v>
      </c>
      <c r="J71" s="393" t="s">
        <v>103</v>
      </c>
      <c r="K71" s="162" t="str">
        <f t="shared" si="24"/>
        <v>7.2.1.</v>
      </c>
      <c r="L71" s="394" t="s">
        <v>233</v>
      </c>
      <c r="M71" s="394" t="s">
        <v>265</v>
      </c>
      <c r="N71" s="396" t="s">
        <v>421</v>
      </c>
      <c r="O71" s="397" t="s">
        <v>480</v>
      </c>
      <c r="P71" s="225">
        <f ca="1">OFFSET(PLQ!$E$12,ROW($P71)-ROW(P$12),0)</f>
        <v>12</v>
      </c>
      <c r="Q71" s="229"/>
      <c r="R71" s="232" t="s">
        <v>7</v>
      </c>
      <c r="S71" s="121">
        <f t="shared" si="25"/>
        <v>0</v>
      </c>
      <c r="T71" s="98">
        <f t="shared" si="26"/>
        <v>0</v>
      </c>
      <c r="U71" s="13" t="str">
        <f t="shared" si="27"/>
        <v>SEM VALOR</v>
      </c>
      <c r="V71" s="4">
        <f ca="1">IF(OR($A71=0,$A71="S",$A71&gt;CFF!$A$9),"",MAX(V$12:OFFSET(V71,-1,0))+1)</f>
      </c>
      <c r="W71" s="9" t="str">
        <f t="shared" si="28"/>
        <v>SINAPI-89848</v>
      </c>
      <c r="X71" s="4">
        <f ca="1" t="shared" si="29"/>
        <v>8445</v>
      </c>
      <c r="Y71" s="121">
        <v>35.1</v>
      </c>
      <c r="Z71" s="132">
        <f>ROUND(IF(ISNUMBER(R71),R71,IF(LEFT(R71,3)="BDI",HLOOKUP(R71,DADOS!$T$37:$X$38,2,FALSE),0)),15-11*$X$5)</f>
        <v>0.21</v>
      </c>
      <c r="AA71" s="4"/>
    </row>
    <row r="72" spans="1:27" ht="25.5">
      <c r="A72" t="str">
        <f t="shared" si="17"/>
        <v>S</v>
      </c>
      <c r="B72">
        <f t="shared" si="18"/>
        <v>0</v>
      </c>
      <c r="C72">
        <f ca="1" t="shared" si="19"/>
        <v>7</v>
      </c>
      <c r="D72">
        <f ca="1" t="shared" si="20"/>
        <v>2</v>
      </c>
      <c r="E72">
        <f ca="1" t="shared" si="21"/>
        <v>0</v>
      </c>
      <c r="F72">
        <f ca="1" t="shared" si="22"/>
        <v>0</v>
      </c>
      <c r="G72">
        <f ca="1" t="shared" si="23"/>
        <v>2</v>
      </c>
      <c r="H72">
        <f ca="1" t="shared" si="15"/>
        <v>0</v>
      </c>
      <c r="I72">
        <f ca="1" t="shared" si="16"/>
        <v>0</v>
      </c>
      <c r="J72" s="393" t="s">
        <v>103</v>
      </c>
      <c r="K72" s="162" t="str">
        <f t="shared" si="24"/>
        <v>7.2.2.</v>
      </c>
      <c r="L72" s="394" t="s">
        <v>233</v>
      </c>
      <c r="M72" s="394" t="s">
        <v>266</v>
      </c>
      <c r="N72" s="396" t="s">
        <v>422</v>
      </c>
      <c r="O72" s="397" t="s">
        <v>480</v>
      </c>
      <c r="P72" s="225">
        <f ca="1">OFFSET(PLQ!$E$12,ROW($P72)-ROW(P$12),0)</f>
        <v>6</v>
      </c>
      <c r="Q72" s="229"/>
      <c r="R72" s="232" t="s">
        <v>7</v>
      </c>
      <c r="S72" s="121">
        <f t="shared" si="25"/>
        <v>0</v>
      </c>
      <c r="T72" s="98">
        <f t="shared" si="26"/>
        <v>0</v>
      </c>
      <c r="U72" s="13" t="str">
        <f t="shared" si="27"/>
        <v>SEM VALOR</v>
      </c>
      <c r="V72" s="4">
        <f ca="1">IF(OR($A72=0,$A72="S",$A72&gt;CFF!$A$9),"",MAX(V$12:OFFSET(V72,-1,0))+1)</f>
      </c>
      <c r="W72" s="9" t="str">
        <f t="shared" si="28"/>
        <v>SINAPI-89799</v>
      </c>
      <c r="X72" s="4">
        <f ca="1" t="shared" si="29"/>
        <v>8443</v>
      </c>
      <c r="Y72" s="121">
        <v>28.62</v>
      </c>
      <c r="Z72" s="132">
        <f>ROUND(IF(ISNUMBER(R72),R72,IF(LEFT(R72,3)="BDI",HLOOKUP(R72,DADOS!$T$37:$X$38,2,FALSE),0)),15-11*$X$5)</f>
        <v>0.21</v>
      </c>
      <c r="AA72" s="4"/>
    </row>
    <row r="73" spans="1:27" ht="25.5">
      <c r="A73" t="str">
        <f t="shared" si="17"/>
        <v>S</v>
      </c>
      <c r="B73">
        <f t="shared" si="18"/>
        <v>0</v>
      </c>
      <c r="C73">
        <f ca="1" t="shared" si="19"/>
        <v>7</v>
      </c>
      <c r="D73">
        <f ca="1" t="shared" si="20"/>
        <v>2</v>
      </c>
      <c r="E73">
        <f ca="1" t="shared" si="21"/>
        <v>0</v>
      </c>
      <c r="F73">
        <f ca="1" t="shared" si="22"/>
        <v>0</v>
      </c>
      <c r="G73">
        <f ca="1" t="shared" si="23"/>
        <v>3</v>
      </c>
      <c r="H73">
        <f ca="1" t="shared" si="15"/>
        <v>0</v>
      </c>
      <c r="I73">
        <f ca="1" t="shared" si="16"/>
        <v>0</v>
      </c>
      <c r="J73" s="393" t="s">
        <v>103</v>
      </c>
      <c r="K73" s="162" t="str">
        <f t="shared" si="24"/>
        <v>7.2.3.</v>
      </c>
      <c r="L73" s="394" t="s">
        <v>233</v>
      </c>
      <c r="M73" s="394" t="s">
        <v>267</v>
      </c>
      <c r="N73" s="396" t="s">
        <v>423</v>
      </c>
      <c r="O73" s="397" t="s">
        <v>480</v>
      </c>
      <c r="P73" s="225">
        <f ca="1">OFFSET(PLQ!$E$12,ROW($P73)-ROW(P$12),0)</f>
        <v>18</v>
      </c>
      <c r="Q73" s="229"/>
      <c r="R73" s="232" t="s">
        <v>7</v>
      </c>
      <c r="S73" s="121">
        <f t="shared" si="25"/>
        <v>0</v>
      </c>
      <c r="T73" s="98">
        <f t="shared" si="26"/>
        <v>0</v>
      </c>
      <c r="U73" s="13" t="str">
        <f t="shared" si="27"/>
        <v>SEM VALOR</v>
      </c>
      <c r="V73" s="4">
        <f ca="1">IF(OR($A73=0,$A73="S",$A73&gt;CFF!$A$9),"",MAX(V$12:OFFSET(V73,-1,0))+1)</f>
      </c>
      <c r="W73" s="9" t="str">
        <f t="shared" si="28"/>
        <v>SINAPI-89798</v>
      </c>
      <c r="X73" s="4">
        <f ca="1" t="shared" si="29"/>
        <v>8442</v>
      </c>
      <c r="Y73" s="121">
        <v>17.24</v>
      </c>
      <c r="Z73" s="132">
        <f>ROUND(IF(ISNUMBER(R73),R73,IF(LEFT(R73,3)="BDI",HLOOKUP(R73,DADOS!$T$37:$X$38,2,FALSE),0)),15-11*$X$5)</f>
        <v>0.21</v>
      </c>
      <c r="AA73" s="4"/>
    </row>
    <row r="74" spans="1:27" ht="25.5">
      <c r="A74" t="str">
        <f t="shared" si="17"/>
        <v>S</v>
      </c>
      <c r="B74">
        <f t="shared" si="18"/>
        <v>0</v>
      </c>
      <c r="C74">
        <f ca="1" t="shared" si="19"/>
        <v>7</v>
      </c>
      <c r="D74">
        <f ca="1" t="shared" si="20"/>
        <v>2</v>
      </c>
      <c r="E74">
        <f ca="1" t="shared" si="21"/>
        <v>0</v>
      </c>
      <c r="F74">
        <f ca="1" t="shared" si="22"/>
        <v>0</v>
      </c>
      <c r="G74">
        <f ca="1" t="shared" si="23"/>
        <v>4</v>
      </c>
      <c r="H74">
        <f ca="1" t="shared" si="15"/>
        <v>0</v>
      </c>
      <c r="I74">
        <f ca="1" t="shared" si="16"/>
        <v>0</v>
      </c>
      <c r="J74" s="393" t="s">
        <v>103</v>
      </c>
      <c r="K74" s="162" t="str">
        <f t="shared" si="24"/>
        <v>7.2.4.</v>
      </c>
      <c r="L74" s="394" t="s">
        <v>233</v>
      </c>
      <c r="M74" s="394" t="s">
        <v>268</v>
      </c>
      <c r="N74" s="396" t="s">
        <v>424</v>
      </c>
      <c r="O74" s="397" t="s">
        <v>480</v>
      </c>
      <c r="P74" s="225">
        <f ca="1">OFFSET(PLQ!$E$12,ROW($P74)-ROW(P$12),0)</f>
        <v>12</v>
      </c>
      <c r="Q74" s="229"/>
      <c r="R74" s="232" t="s">
        <v>7</v>
      </c>
      <c r="S74" s="121">
        <f t="shared" si="25"/>
        <v>0</v>
      </c>
      <c r="T74" s="98">
        <f t="shared" si="26"/>
        <v>0</v>
      </c>
      <c r="U74" s="13" t="str">
        <f t="shared" si="27"/>
        <v>SEM VALOR</v>
      </c>
      <c r="V74" s="4">
        <f ca="1">IF(OR($A74=0,$A74="S",$A74&gt;CFF!$A$9),"",MAX(V$12:OFFSET(V74,-1,0))+1)</f>
      </c>
      <c r="W74" s="9" t="str">
        <f t="shared" si="28"/>
        <v>SINAPI-89711</v>
      </c>
      <c r="X74" s="4">
        <f ca="1" t="shared" si="29"/>
        <v>8432</v>
      </c>
      <c r="Y74" s="121">
        <v>26.98</v>
      </c>
      <c r="Z74" s="132">
        <f>ROUND(IF(ISNUMBER(R74),R74,IF(LEFT(R74,3)="BDI",HLOOKUP(R74,DADOS!$T$37:$X$38,2,FALSE),0)),15-11*$X$5)</f>
        <v>0.21</v>
      </c>
      <c r="AA74" s="4"/>
    </row>
    <row r="75" spans="1:27" ht="12.75">
      <c r="A75" t="str">
        <f t="shared" si="17"/>
        <v>S</v>
      </c>
      <c r="B75">
        <f t="shared" si="18"/>
        <v>0</v>
      </c>
      <c r="C75">
        <f ca="1" t="shared" si="19"/>
        <v>7</v>
      </c>
      <c r="D75">
        <f ca="1" t="shared" si="20"/>
        <v>2</v>
      </c>
      <c r="E75">
        <f ca="1" t="shared" si="21"/>
        <v>0</v>
      </c>
      <c r="F75">
        <f ca="1" t="shared" si="22"/>
        <v>0</v>
      </c>
      <c r="G75">
        <f ca="1" t="shared" si="23"/>
        <v>5</v>
      </c>
      <c r="H75">
        <f ca="1" t="shared" si="15"/>
        <v>0</v>
      </c>
      <c r="I75">
        <f ca="1" t="shared" si="16"/>
        <v>0</v>
      </c>
      <c r="J75" s="393" t="s">
        <v>103</v>
      </c>
      <c r="K75" s="162" t="str">
        <f t="shared" si="24"/>
        <v>7.2.5.</v>
      </c>
      <c r="L75" s="394" t="s">
        <v>260</v>
      </c>
      <c r="M75" s="394" t="s">
        <v>269</v>
      </c>
      <c r="N75" s="396" t="s">
        <v>425</v>
      </c>
      <c r="O75" s="397" t="s">
        <v>486</v>
      </c>
      <c r="P75" s="225">
        <f ca="1">OFFSET(PLQ!$E$12,ROW($P75)-ROW(P$12),0)</f>
        <v>4</v>
      </c>
      <c r="Q75" s="229"/>
      <c r="R75" s="232" t="s">
        <v>7</v>
      </c>
      <c r="S75" s="121">
        <f t="shared" si="25"/>
        <v>0</v>
      </c>
      <c r="T75" s="98">
        <f t="shared" si="26"/>
        <v>0</v>
      </c>
      <c r="U75" s="13" t="str">
        <f t="shared" si="27"/>
        <v>SEM VALOR</v>
      </c>
      <c r="V75" s="4">
        <f ca="1">IF(OR($A75=0,$A75="S",$A75&gt;CFF!$A$9),"",MAX(V$12:OFFSET(V75,-1,0))+1)</f>
      </c>
      <c r="W75" s="9" t="str">
        <f t="shared" si="28"/>
        <v>SINAPI-I-20157</v>
      </c>
      <c r="X75" s="4">
        <f ca="1" t="shared" si="29"/>
        <v>2444</v>
      </c>
      <c r="Y75" s="121">
        <v>25.03</v>
      </c>
      <c r="Z75" s="132">
        <f>ROUND(IF(ISNUMBER(R75),R75,IF(LEFT(R75,3)="BDI",HLOOKUP(R75,DADOS!$T$37:$X$38,2,FALSE),0)),15-11*$X$5)</f>
        <v>0.21</v>
      </c>
      <c r="AA75" s="4"/>
    </row>
    <row r="76" spans="1:27" ht="12.75">
      <c r="A76" t="str">
        <f t="shared" si="17"/>
        <v>S</v>
      </c>
      <c r="B76">
        <f t="shared" si="18"/>
        <v>0</v>
      </c>
      <c r="C76">
        <f ca="1" t="shared" si="19"/>
        <v>7</v>
      </c>
      <c r="D76">
        <f ca="1" t="shared" si="20"/>
        <v>2</v>
      </c>
      <c r="E76">
        <f ca="1" t="shared" si="21"/>
        <v>0</v>
      </c>
      <c r="F76">
        <f ca="1" t="shared" si="22"/>
        <v>0</v>
      </c>
      <c r="G76">
        <f ca="1" t="shared" si="23"/>
        <v>6</v>
      </c>
      <c r="H76">
        <f ca="1" t="shared" si="15"/>
        <v>0</v>
      </c>
      <c r="I76">
        <f ca="1" t="shared" si="16"/>
        <v>0</v>
      </c>
      <c r="J76" s="393" t="s">
        <v>103</v>
      </c>
      <c r="K76" s="162" t="str">
        <f t="shared" si="24"/>
        <v>7.2.6.</v>
      </c>
      <c r="L76" s="394" t="s">
        <v>260</v>
      </c>
      <c r="M76" s="394" t="s">
        <v>270</v>
      </c>
      <c r="N76" s="396" t="s">
        <v>426</v>
      </c>
      <c r="O76" s="397" t="s">
        <v>486</v>
      </c>
      <c r="P76" s="225">
        <f ca="1">OFFSET(PLQ!$E$12,ROW($P76)-ROW(P$12),0)</f>
        <v>4</v>
      </c>
      <c r="Q76" s="229"/>
      <c r="R76" s="232" t="s">
        <v>7</v>
      </c>
      <c r="S76" s="121">
        <f t="shared" si="25"/>
        <v>0</v>
      </c>
      <c r="T76" s="98">
        <f t="shared" si="26"/>
        <v>0</v>
      </c>
      <c r="U76" s="13" t="str">
        <f t="shared" si="27"/>
        <v>SEM VALOR</v>
      </c>
      <c r="V76" s="4">
        <f ca="1">IF(OR($A76=0,$A76="S",$A76&gt;CFF!$A$9),"",MAX(V$12:OFFSET(V76,-1,0))+1)</f>
      </c>
      <c r="W76" s="9" t="str">
        <f t="shared" si="28"/>
        <v>SINAPI-I-3519</v>
      </c>
      <c r="X76" s="4">
        <f ca="1" t="shared" si="29"/>
        <v>2405</v>
      </c>
      <c r="Y76" s="121">
        <v>10.22</v>
      </c>
      <c r="Z76" s="132">
        <f>ROUND(IF(ISNUMBER(R76),R76,IF(LEFT(R76,3)="BDI",HLOOKUP(R76,DADOS!$T$37:$X$38,2,FALSE),0)),15-11*$X$5)</f>
        <v>0.21</v>
      </c>
      <c r="AA76" s="4"/>
    </row>
    <row r="77" spans="1:27" ht="12.75">
      <c r="A77" t="str">
        <f t="shared" si="17"/>
        <v>S</v>
      </c>
      <c r="B77">
        <f t="shared" si="18"/>
        <v>0</v>
      </c>
      <c r="C77">
        <f ca="1" t="shared" si="19"/>
        <v>7</v>
      </c>
      <c r="D77">
        <f ca="1" t="shared" si="20"/>
        <v>2</v>
      </c>
      <c r="E77">
        <f ca="1" t="shared" si="21"/>
        <v>0</v>
      </c>
      <c r="F77">
        <f ca="1" t="shared" si="22"/>
        <v>0</v>
      </c>
      <c r="G77">
        <f ca="1" t="shared" si="23"/>
        <v>7</v>
      </c>
      <c r="H77">
        <f aca="true" ca="1" t="shared" si="30" ref="H77:H108">IF(OR($A77="S",$A77=0),0,MATCH(0,OFFSET($B77,1,$A77,ROW($A$167)-ROW($A77)),0))</f>
        <v>0</v>
      </c>
      <c r="I77">
        <f aca="true" ca="1" t="shared" si="31" ref="I77:I108">IF(OR($A77="S",$A77=0),0,MATCH(OFFSET($B77,0,$A77)+1,OFFSET($B77,1,$A77,ROW($A$167)-ROW($A77)),0))</f>
        <v>0</v>
      </c>
      <c r="J77" s="393" t="s">
        <v>103</v>
      </c>
      <c r="K77" s="162" t="str">
        <f t="shared" si="24"/>
        <v>7.2.7.</v>
      </c>
      <c r="L77" s="394" t="s">
        <v>260</v>
      </c>
      <c r="M77" s="394" t="s">
        <v>271</v>
      </c>
      <c r="N77" s="396" t="s">
        <v>427</v>
      </c>
      <c r="O77" s="397" t="s">
        <v>486</v>
      </c>
      <c r="P77" s="225">
        <f ca="1">OFFSET(PLQ!$E$12,ROW($P77)-ROW(P$12),0)</f>
        <v>4</v>
      </c>
      <c r="Q77" s="229"/>
      <c r="R77" s="232" t="s">
        <v>7</v>
      </c>
      <c r="S77" s="121">
        <f t="shared" si="25"/>
        <v>0</v>
      </c>
      <c r="T77" s="98">
        <f t="shared" si="26"/>
        <v>0</v>
      </c>
      <c r="U77" s="13" t="str">
        <f t="shared" si="27"/>
        <v>SEM VALOR</v>
      </c>
      <c r="V77" s="4">
        <f ca="1">IF(OR($A77=0,$A77="S",$A77&gt;CFF!$A$9),"",MAX(V$12:OFFSET(V77,-1,0))+1)</f>
      </c>
      <c r="W77" s="9" t="str">
        <f t="shared" si="28"/>
        <v>SINAPI-I-20149</v>
      </c>
      <c r="X77" s="4">
        <f ca="1" t="shared" si="29"/>
        <v>2442</v>
      </c>
      <c r="Y77" s="121">
        <v>8.65</v>
      </c>
      <c r="Z77" s="132">
        <f>ROUND(IF(ISNUMBER(R77),R77,IF(LEFT(R77,3)="BDI",HLOOKUP(R77,DADOS!$T$37:$X$38,2,FALSE),0)),15-11*$X$5)</f>
        <v>0.21</v>
      </c>
      <c r="AA77" s="4"/>
    </row>
    <row r="78" spans="1:27" ht="12.75">
      <c r="A78" t="str">
        <f t="shared" si="17"/>
        <v>S</v>
      </c>
      <c r="B78">
        <f t="shared" si="18"/>
        <v>0</v>
      </c>
      <c r="C78">
        <f ca="1" t="shared" si="19"/>
        <v>7</v>
      </c>
      <c r="D78">
        <f ca="1" t="shared" si="20"/>
        <v>2</v>
      </c>
      <c r="E78">
        <f ca="1" t="shared" si="21"/>
        <v>0</v>
      </c>
      <c r="F78">
        <f ca="1" t="shared" si="22"/>
        <v>0</v>
      </c>
      <c r="G78">
        <f ca="1" t="shared" si="23"/>
        <v>8</v>
      </c>
      <c r="H78">
        <f ca="1" t="shared" si="30"/>
        <v>0</v>
      </c>
      <c r="I78">
        <f ca="1" t="shared" si="31"/>
        <v>0</v>
      </c>
      <c r="J78" s="393" t="s">
        <v>103</v>
      </c>
      <c r="K78" s="162" t="str">
        <f t="shared" si="24"/>
        <v>7.2.8.</v>
      </c>
      <c r="L78" s="394" t="s">
        <v>260</v>
      </c>
      <c r="M78" s="394" t="s">
        <v>272</v>
      </c>
      <c r="N78" s="396" t="s">
        <v>428</v>
      </c>
      <c r="O78" s="397" t="s">
        <v>486</v>
      </c>
      <c r="P78" s="225">
        <f ca="1">OFFSET(PLQ!$E$12,ROW($P78)-ROW(P$12),0)</f>
        <v>2</v>
      </c>
      <c r="Q78" s="229"/>
      <c r="R78" s="232" t="s">
        <v>7</v>
      </c>
      <c r="S78" s="121">
        <f t="shared" si="25"/>
        <v>0</v>
      </c>
      <c r="T78" s="98">
        <f t="shared" si="26"/>
        <v>0</v>
      </c>
      <c r="U78" s="13" t="str">
        <f t="shared" si="27"/>
        <v>SEM VALOR</v>
      </c>
      <c r="V78" s="4">
        <f ca="1">IF(OR($A78=0,$A78="S",$A78&gt;CFF!$A$9),"",MAX(V$12:OFFSET(V78,-1,0))+1)</f>
      </c>
      <c r="W78" s="9" t="str">
        <f t="shared" si="28"/>
        <v>SINAPI-I-1970</v>
      </c>
      <c r="X78" s="4">
        <f ca="1" t="shared" si="29"/>
        <v>1541</v>
      </c>
      <c r="Y78" s="121">
        <v>75.2</v>
      </c>
      <c r="Z78" s="132">
        <f>ROUND(IF(ISNUMBER(R78),R78,IF(LEFT(R78,3)="BDI",HLOOKUP(R78,DADOS!$T$37:$X$38,2,FALSE),0)),15-11*$X$5)</f>
        <v>0.21</v>
      </c>
      <c r="AA78" s="4"/>
    </row>
    <row r="79" spans="1:27" ht="12.75">
      <c r="A79" t="str">
        <f t="shared" si="17"/>
        <v>S</v>
      </c>
      <c r="B79">
        <f t="shared" si="18"/>
        <v>0</v>
      </c>
      <c r="C79">
        <f ca="1" t="shared" si="19"/>
        <v>7</v>
      </c>
      <c r="D79">
        <f ca="1" t="shared" si="20"/>
        <v>2</v>
      </c>
      <c r="E79">
        <f ca="1" t="shared" si="21"/>
        <v>0</v>
      </c>
      <c r="F79">
        <f ca="1" t="shared" si="22"/>
        <v>0</v>
      </c>
      <c r="G79">
        <f ca="1" t="shared" si="23"/>
        <v>9</v>
      </c>
      <c r="H79">
        <f ca="1" t="shared" si="30"/>
        <v>0</v>
      </c>
      <c r="I79">
        <f ca="1" t="shared" si="31"/>
        <v>0</v>
      </c>
      <c r="J79" s="393" t="s">
        <v>103</v>
      </c>
      <c r="K79" s="162" t="str">
        <f t="shared" si="24"/>
        <v>7.2.9.</v>
      </c>
      <c r="L79" s="394" t="s">
        <v>260</v>
      </c>
      <c r="M79" s="394" t="s">
        <v>273</v>
      </c>
      <c r="N79" s="396" t="s">
        <v>429</v>
      </c>
      <c r="O79" s="397" t="s">
        <v>486</v>
      </c>
      <c r="P79" s="225">
        <f ca="1">OFFSET(PLQ!$E$12,ROW($P79)-ROW(P$12),0)</f>
        <v>2</v>
      </c>
      <c r="Q79" s="229"/>
      <c r="R79" s="232" t="s">
        <v>7</v>
      </c>
      <c r="S79" s="121">
        <f t="shared" si="25"/>
        <v>0</v>
      </c>
      <c r="T79" s="98">
        <f t="shared" si="26"/>
        <v>0</v>
      </c>
      <c r="U79" s="13" t="str">
        <f t="shared" si="27"/>
        <v>SEM VALOR</v>
      </c>
      <c r="V79" s="4">
        <f ca="1">IF(OR($A79=0,$A79="S",$A79&gt;CFF!$A$9),"",MAX(V$12:OFFSET(V79,-1,0))+1)</f>
      </c>
      <c r="W79" s="9" t="str">
        <f t="shared" si="28"/>
        <v>SINAPI-I-1968</v>
      </c>
      <c r="X79" s="4">
        <f ca="1" t="shared" si="29"/>
        <v>1543</v>
      </c>
      <c r="Y79" s="121">
        <v>17.65</v>
      </c>
      <c r="Z79" s="132">
        <f>ROUND(IF(ISNUMBER(R79),R79,IF(LEFT(R79,3)="BDI",HLOOKUP(R79,DADOS!$T$37:$X$38,2,FALSE),0)),15-11*$X$5)</f>
        <v>0.21</v>
      </c>
      <c r="AA79" s="4"/>
    </row>
    <row r="80" spans="1:27" ht="25.5">
      <c r="A80" t="str">
        <f t="shared" si="17"/>
        <v>S</v>
      </c>
      <c r="B80">
        <f t="shared" si="18"/>
        <v>0</v>
      </c>
      <c r="C80">
        <f ca="1" t="shared" si="19"/>
        <v>7</v>
      </c>
      <c r="D80">
        <f ca="1" t="shared" si="20"/>
        <v>2</v>
      </c>
      <c r="E80">
        <f ca="1" t="shared" si="21"/>
        <v>0</v>
      </c>
      <c r="F80">
        <f ca="1" t="shared" si="22"/>
        <v>0</v>
      </c>
      <c r="G80">
        <f ca="1" t="shared" si="23"/>
        <v>10</v>
      </c>
      <c r="H80">
        <f ca="1" t="shared" si="30"/>
        <v>0</v>
      </c>
      <c r="I80">
        <f ca="1" t="shared" si="31"/>
        <v>0</v>
      </c>
      <c r="J80" s="393" t="s">
        <v>103</v>
      </c>
      <c r="K80" s="162" t="str">
        <f t="shared" si="24"/>
        <v>7.2.10.</v>
      </c>
      <c r="L80" s="394" t="s">
        <v>233</v>
      </c>
      <c r="M80" s="394" t="s">
        <v>274</v>
      </c>
      <c r="N80" s="396" t="s">
        <v>430</v>
      </c>
      <c r="O80" s="397" t="s">
        <v>481</v>
      </c>
      <c r="P80" s="225">
        <f ca="1">OFFSET(PLQ!$E$12,ROW($P80)-ROW(P$12),0)</f>
        <v>2</v>
      </c>
      <c r="Q80" s="229"/>
      <c r="R80" s="232" t="s">
        <v>7</v>
      </c>
      <c r="S80" s="121">
        <f t="shared" si="25"/>
        <v>0</v>
      </c>
      <c r="T80" s="98">
        <f t="shared" si="26"/>
        <v>0</v>
      </c>
      <c r="U80" s="13" t="str">
        <f t="shared" si="27"/>
        <v>SEM VALOR</v>
      </c>
      <c r="V80" s="4">
        <f ca="1">IF(OR($A80=0,$A80="S",$A80&gt;CFF!$A$9),"",MAX(V$12:OFFSET(V80,-1,0))+1)</f>
      </c>
      <c r="W80" s="9" t="str">
        <f t="shared" si="28"/>
        <v>SINAPI-89857</v>
      </c>
      <c r="X80" s="4">
        <f ca="1" t="shared" si="29"/>
        <v>9049</v>
      </c>
      <c r="Y80" s="121">
        <v>46.77</v>
      </c>
      <c r="Z80" s="132">
        <f>ROUND(IF(ISNUMBER(R80),R80,IF(LEFT(R80,3)="BDI",HLOOKUP(R80,DADOS!$T$37:$X$38,2,FALSE),0)),15-11*$X$5)</f>
        <v>0.21</v>
      </c>
      <c r="AA80" s="4"/>
    </row>
    <row r="81" spans="1:27" ht="25.5">
      <c r="A81" t="str">
        <f t="shared" si="17"/>
        <v>S</v>
      </c>
      <c r="B81">
        <f t="shared" si="18"/>
        <v>0</v>
      </c>
      <c r="C81">
        <f ca="1" t="shared" si="19"/>
        <v>7</v>
      </c>
      <c r="D81">
        <f ca="1" t="shared" si="20"/>
        <v>2</v>
      </c>
      <c r="E81">
        <f ca="1" t="shared" si="21"/>
        <v>0</v>
      </c>
      <c r="F81">
        <f ca="1" t="shared" si="22"/>
        <v>0</v>
      </c>
      <c r="G81">
        <f ca="1" t="shared" si="23"/>
        <v>11</v>
      </c>
      <c r="H81">
        <f ca="1" t="shared" si="30"/>
        <v>0</v>
      </c>
      <c r="I81">
        <f ca="1" t="shared" si="31"/>
        <v>0</v>
      </c>
      <c r="J81" s="393" t="s">
        <v>103</v>
      </c>
      <c r="K81" s="162" t="str">
        <f t="shared" si="24"/>
        <v>7.2.11.</v>
      </c>
      <c r="L81" s="394" t="s">
        <v>233</v>
      </c>
      <c r="M81" s="394" t="s">
        <v>275</v>
      </c>
      <c r="N81" s="396" t="s">
        <v>431</v>
      </c>
      <c r="O81" s="397" t="s">
        <v>481</v>
      </c>
      <c r="P81" s="225">
        <f ca="1">OFFSET(PLQ!$E$12,ROW($P81)-ROW(P$12),0)</f>
        <v>3</v>
      </c>
      <c r="Q81" s="229"/>
      <c r="R81" s="232" t="s">
        <v>7</v>
      </c>
      <c r="S81" s="121">
        <f t="shared" si="25"/>
        <v>0</v>
      </c>
      <c r="T81" s="98">
        <f t="shared" si="26"/>
        <v>0</v>
      </c>
      <c r="U81" s="13" t="str">
        <f t="shared" si="27"/>
        <v>SEM VALOR</v>
      </c>
      <c r="V81" s="4">
        <f ca="1">IF(OR($A81=0,$A81="S",$A81&gt;CFF!$A$9),"",MAX(V$12:OFFSET(V81,-1,0))+1)</f>
      </c>
      <c r="W81" s="9" t="str">
        <f t="shared" si="28"/>
        <v>SINAPI-89819</v>
      </c>
      <c r="X81" s="4">
        <f ca="1" t="shared" si="29"/>
        <v>9015</v>
      </c>
      <c r="Y81" s="121">
        <v>30.1</v>
      </c>
      <c r="Z81" s="132">
        <f>ROUND(IF(ISNUMBER(R81),R81,IF(LEFT(R81,3)="BDI",HLOOKUP(R81,DADOS!$T$37:$X$38,2,FALSE),0)),15-11*$X$5)</f>
        <v>0.21</v>
      </c>
      <c r="AA81" s="4"/>
    </row>
    <row r="82" spans="1:27" ht="25.5">
      <c r="A82" t="str">
        <f t="shared" si="17"/>
        <v>S</v>
      </c>
      <c r="B82">
        <f t="shared" si="18"/>
        <v>0</v>
      </c>
      <c r="C82">
        <f ca="1" t="shared" si="19"/>
        <v>7</v>
      </c>
      <c r="D82">
        <f ca="1" t="shared" si="20"/>
        <v>2</v>
      </c>
      <c r="E82">
        <f ca="1" t="shared" si="21"/>
        <v>0</v>
      </c>
      <c r="F82">
        <f ca="1" t="shared" si="22"/>
        <v>0</v>
      </c>
      <c r="G82">
        <f ca="1" t="shared" si="23"/>
        <v>12</v>
      </c>
      <c r="H82">
        <f ca="1" t="shared" si="30"/>
        <v>0</v>
      </c>
      <c r="I82">
        <f ca="1" t="shared" si="31"/>
        <v>0</v>
      </c>
      <c r="J82" s="393" t="s">
        <v>103</v>
      </c>
      <c r="K82" s="162" t="str">
        <f t="shared" si="24"/>
        <v>7.2.12.</v>
      </c>
      <c r="L82" s="394" t="s">
        <v>233</v>
      </c>
      <c r="M82" s="394" t="s">
        <v>276</v>
      </c>
      <c r="N82" s="396" t="s">
        <v>432</v>
      </c>
      <c r="O82" s="397" t="s">
        <v>481</v>
      </c>
      <c r="P82" s="225">
        <f ca="1">OFFSET(PLQ!$E$12,ROW($P82)-ROW(P$12),0)</f>
        <v>3</v>
      </c>
      <c r="Q82" s="229"/>
      <c r="R82" s="232" t="s">
        <v>7</v>
      </c>
      <c r="S82" s="121">
        <f t="shared" si="25"/>
        <v>0</v>
      </c>
      <c r="T82" s="98">
        <f t="shared" si="26"/>
        <v>0</v>
      </c>
      <c r="U82" s="13" t="str">
        <f t="shared" si="27"/>
        <v>SEM VALOR</v>
      </c>
      <c r="V82" s="4">
        <f ca="1">IF(OR($A82=0,$A82="S",$A82&gt;CFF!$A$9),"",MAX(V$12:OFFSET(V82,-1,0))+1)</f>
      </c>
      <c r="W82" s="9" t="str">
        <f t="shared" si="28"/>
        <v>SINAPI-89814</v>
      </c>
      <c r="X82" s="4">
        <f ca="1" t="shared" si="29"/>
        <v>9010</v>
      </c>
      <c r="Y82" s="121">
        <v>21.86</v>
      </c>
      <c r="Z82" s="132">
        <f>ROUND(IF(ISNUMBER(R82),R82,IF(LEFT(R82,3)="BDI",HLOOKUP(R82,DADOS!$T$37:$X$38,2,FALSE),0)),15-11*$X$5)</f>
        <v>0.21</v>
      </c>
      <c r="AA82" s="4"/>
    </row>
    <row r="83" spans="1:27" ht="25.5">
      <c r="A83" t="str">
        <f t="shared" si="17"/>
        <v>S</v>
      </c>
      <c r="B83">
        <f t="shared" si="18"/>
        <v>0</v>
      </c>
      <c r="C83">
        <f ca="1" t="shared" si="19"/>
        <v>7</v>
      </c>
      <c r="D83">
        <f ca="1" t="shared" si="20"/>
        <v>2</v>
      </c>
      <c r="E83">
        <f ca="1" t="shared" si="21"/>
        <v>0</v>
      </c>
      <c r="F83">
        <f ca="1" t="shared" si="22"/>
        <v>0</v>
      </c>
      <c r="G83">
        <f ca="1" t="shared" si="23"/>
        <v>13</v>
      </c>
      <c r="H83">
        <f ca="1" t="shared" si="30"/>
        <v>0</v>
      </c>
      <c r="I83">
        <f ca="1" t="shared" si="31"/>
        <v>0</v>
      </c>
      <c r="J83" s="393" t="s">
        <v>103</v>
      </c>
      <c r="K83" s="162" t="str">
        <f t="shared" si="24"/>
        <v>7.2.13.</v>
      </c>
      <c r="L83" s="394" t="s">
        <v>233</v>
      </c>
      <c r="M83" s="394" t="s">
        <v>277</v>
      </c>
      <c r="N83" s="396" t="s">
        <v>433</v>
      </c>
      <c r="O83" s="397" t="s">
        <v>481</v>
      </c>
      <c r="P83" s="225">
        <f ca="1">OFFSET(PLQ!$E$12,ROW($P83)-ROW(P$12),0)</f>
        <v>2</v>
      </c>
      <c r="Q83" s="229"/>
      <c r="R83" s="232" t="s">
        <v>7</v>
      </c>
      <c r="S83" s="121">
        <f t="shared" si="25"/>
        <v>0</v>
      </c>
      <c r="T83" s="98">
        <f t="shared" si="26"/>
        <v>0</v>
      </c>
      <c r="U83" s="13" t="str">
        <f t="shared" si="27"/>
        <v>SEM VALOR</v>
      </c>
      <c r="V83" s="4">
        <f ca="1">IF(OR($A83=0,$A83="S",$A83&gt;CFF!$A$9),"",MAX(V$12:OFFSET(V83,-1,0))+1)</f>
      </c>
      <c r="W83" s="9" t="str">
        <f t="shared" si="28"/>
        <v>SINAPI-89833</v>
      </c>
      <c r="X83" s="4">
        <f ca="1" t="shared" si="29"/>
        <v>9028</v>
      </c>
      <c r="Y83" s="121">
        <v>55.84</v>
      </c>
      <c r="Z83" s="132">
        <f>ROUND(IF(ISNUMBER(R83),R83,IF(LEFT(R83,3)="BDI",HLOOKUP(R83,DADOS!$T$37:$X$38,2,FALSE),0)),15-11*$X$5)</f>
        <v>0.21</v>
      </c>
      <c r="AA83" s="4"/>
    </row>
    <row r="84" spans="1:27" ht="25.5">
      <c r="A84" t="str">
        <f t="shared" si="17"/>
        <v>S</v>
      </c>
      <c r="B84">
        <f t="shared" si="18"/>
        <v>0</v>
      </c>
      <c r="C84">
        <f ca="1" t="shared" si="19"/>
        <v>7</v>
      </c>
      <c r="D84">
        <f ca="1" t="shared" si="20"/>
        <v>2</v>
      </c>
      <c r="E84">
        <f ca="1" t="shared" si="21"/>
        <v>0</v>
      </c>
      <c r="F84">
        <f ca="1" t="shared" si="22"/>
        <v>0</v>
      </c>
      <c r="G84">
        <f ca="1" t="shared" si="23"/>
        <v>14</v>
      </c>
      <c r="H84">
        <f ca="1" t="shared" si="30"/>
        <v>0</v>
      </c>
      <c r="I84">
        <f ca="1" t="shared" si="31"/>
        <v>0</v>
      </c>
      <c r="J84" s="393" t="s">
        <v>103</v>
      </c>
      <c r="K84" s="162" t="str">
        <f t="shared" si="24"/>
        <v>7.2.14.</v>
      </c>
      <c r="L84" s="394" t="s">
        <v>233</v>
      </c>
      <c r="M84" s="394" t="s">
        <v>278</v>
      </c>
      <c r="N84" s="396" t="s">
        <v>434</v>
      </c>
      <c r="O84" s="397" t="s">
        <v>481</v>
      </c>
      <c r="P84" s="225">
        <f ca="1">OFFSET(PLQ!$E$12,ROW($P84)-ROW(P$12),0)</f>
        <v>4</v>
      </c>
      <c r="Q84" s="229"/>
      <c r="R84" s="232" t="s">
        <v>7</v>
      </c>
      <c r="S84" s="121">
        <f t="shared" si="25"/>
        <v>0</v>
      </c>
      <c r="T84" s="98">
        <f t="shared" si="26"/>
        <v>0</v>
      </c>
      <c r="U84" s="13" t="str">
        <f t="shared" si="27"/>
        <v>SEM VALOR</v>
      </c>
      <c r="V84" s="4">
        <f ca="1">IF(OR($A84=0,$A84="S",$A84&gt;CFF!$A$9),"",MAX(V$12:OFFSET(V84,-1,0))+1)</f>
      </c>
      <c r="W84" s="9" t="str">
        <f t="shared" si="28"/>
        <v>SINAPI-104352</v>
      </c>
      <c r="X84" s="4">
        <f ca="1" t="shared" si="29"/>
        <v>9924</v>
      </c>
      <c r="Y84" s="121">
        <v>49.33</v>
      </c>
      <c r="Z84" s="132">
        <f>ROUND(IF(ISNUMBER(R84),R84,IF(LEFT(R84,3)="BDI",HLOOKUP(R84,DADOS!$T$37:$X$38,2,FALSE),0)),15-11*$X$5)</f>
        <v>0.21</v>
      </c>
      <c r="AA84" s="4"/>
    </row>
    <row r="85" spans="1:27" ht="25.5">
      <c r="A85" t="str">
        <f t="shared" si="17"/>
        <v>S</v>
      </c>
      <c r="B85">
        <f t="shared" si="18"/>
        <v>0</v>
      </c>
      <c r="C85">
        <f ca="1" t="shared" si="19"/>
        <v>7</v>
      </c>
      <c r="D85">
        <f ca="1" t="shared" si="20"/>
        <v>2</v>
      </c>
      <c r="E85">
        <f ca="1" t="shared" si="21"/>
        <v>0</v>
      </c>
      <c r="F85">
        <f ca="1" t="shared" si="22"/>
        <v>0</v>
      </c>
      <c r="G85">
        <f ca="1" t="shared" si="23"/>
        <v>15</v>
      </c>
      <c r="H85">
        <f ca="1" t="shared" si="30"/>
        <v>0</v>
      </c>
      <c r="I85">
        <f ca="1" t="shared" si="31"/>
        <v>0</v>
      </c>
      <c r="J85" s="393" t="s">
        <v>103</v>
      </c>
      <c r="K85" s="162" t="str">
        <f t="shared" si="24"/>
        <v>7.2.15.</v>
      </c>
      <c r="L85" s="394" t="s">
        <v>233</v>
      </c>
      <c r="M85" s="394" t="s">
        <v>279</v>
      </c>
      <c r="N85" s="396" t="s">
        <v>435</v>
      </c>
      <c r="O85" s="397" t="s">
        <v>481</v>
      </c>
      <c r="P85" s="225">
        <f ca="1">OFFSET(PLQ!$E$12,ROW($P85)-ROW(P$12),0)</f>
        <v>2</v>
      </c>
      <c r="Q85" s="229"/>
      <c r="R85" s="232" t="s">
        <v>7</v>
      </c>
      <c r="S85" s="121">
        <f t="shared" si="25"/>
        <v>0</v>
      </c>
      <c r="T85" s="98">
        <f t="shared" si="26"/>
        <v>0</v>
      </c>
      <c r="U85" s="13" t="str">
        <f t="shared" si="27"/>
        <v>SEM VALOR</v>
      </c>
      <c r="V85" s="4">
        <f ca="1">IF(OR($A85=0,$A85="S",$A85&gt;CFF!$A$9),"",MAX(V$12:OFFSET(V85,-1,0))+1)</f>
      </c>
      <c r="W85" s="9" t="str">
        <f t="shared" si="28"/>
        <v>SINAPI-104354</v>
      </c>
      <c r="X85" s="4">
        <f ca="1" t="shared" si="29"/>
        <v>9926</v>
      </c>
      <c r="Y85" s="121">
        <v>56.52</v>
      </c>
      <c r="Z85" s="132">
        <f>ROUND(IF(ISNUMBER(R85),R85,IF(LEFT(R85,3)="BDI",HLOOKUP(R85,DADOS!$T$37:$X$38,2,FALSE),0)),15-11*$X$5)</f>
        <v>0.21</v>
      </c>
      <c r="AA85" s="4"/>
    </row>
    <row r="86" spans="1:27" ht="25.5">
      <c r="A86" t="str">
        <f t="shared" si="17"/>
        <v>S</v>
      </c>
      <c r="B86">
        <f t="shared" si="18"/>
        <v>0</v>
      </c>
      <c r="C86">
        <f ca="1" t="shared" si="19"/>
        <v>7</v>
      </c>
      <c r="D86">
        <f ca="1" t="shared" si="20"/>
        <v>2</v>
      </c>
      <c r="E86">
        <f ca="1" t="shared" si="21"/>
        <v>0</v>
      </c>
      <c r="F86">
        <f ca="1" t="shared" si="22"/>
        <v>0</v>
      </c>
      <c r="G86">
        <f ca="1" t="shared" si="23"/>
        <v>16</v>
      </c>
      <c r="H86">
        <f ca="1" t="shared" si="30"/>
        <v>0</v>
      </c>
      <c r="I86">
        <f ca="1" t="shared" si="31"/>
        <v>0</v>
      </c>
      <c r="J86" s="393" t="s">
        <v>103</v>
      </c>
      <c r="K86" s="162" t="str">
        <f t="shared" si="24"/>
        <v>7.2.16.</v>
      </c>
      <c r="L86" s="394" t="s">
        <v>233</v>
      </c>
      <c r="M86" s="394" t="s">
        <v>280</v>
      </c>
      <c r="N86" s="396" t="s">
        <v>436</v>
      </c>
      <c r="O86" s="397" t="s">
        <v>481</v>
      </c>
      <c r="P86" s="225">
        <f ca="1">OFFSET(PLQ!$E$12,ROW($P86)-ROW(P$12),0)</f>
        <v>3</v>
      </c>
      <c r="Q86" s="229"/>
      <c r="R86" s="232" t="s">
        <v>7</v>
      </c>
      <c r="S86" s="121">
        <f t="shared" si="25"/>
        <v>0</v>
      </c>
      <c r="T86" s="98">
        <f t="shared" si="26"/>
        <v>0</v>
      </c>
      <c r="U86" s="13" t="str">
        <f t="shared" si="27"/>
        <v>SEM VALOR</v>
      </c>
      <c r="V86" s="4">
        <f ca="1">IF(OR($A86=0,$A86="S",$A86&gt;CFF!$A$9),"",MAX(V$12:OFFSET(V86,-1,0))+1)</f>
      </c>
      <c r="W86" s="9" t="str">
        <f t="shared" si="28"/>
        <v>SINAPI-89782</v>
      </c>
      <c r="X86" s="4">
        <f ca="1" t="shared" si="29"/>
        <v>8981</v>
      </c>
      <c r="Y86" s="121">
        <v>18.88</v>
      </c>
      <c r="Z86" s="132">
        <f>ROUND(IF(ISNUMBER(R86),R86,IF(LEFT(R86,3)="BDI",HLOOKUP(R86,DADOS!$T$37:$X$38,2,FALSE),0)),15-11*$X$5)</f>
        <v>0.21</v>
      </c>
      <c r="AA86" s="4"/>
    </row>
    <row r="87" spans="1:27" ht="25.5">
      <c r="A87" t="str">
        <f t="shared" si="17"/>
        <v>S</v>
      </c>
      <c r="B87">
        <f t="shared" si="18"/>
        <v>0</v>
      </c>
      <c r="C87">
        <f ca="1" t="shared" si="19"/>
        <v>7</v>
      </c>
      <c r="D87">
        <f ca="1" t="shared" si="20"/>
        <v>2</v>
      </c>
      <c r="E87">
        <f ca="1" t="shared" si="21"/>
        <v>0</v>
      </c>
      <c r="F87">
        <f ca="1" t="shared" si="22"/>
        <v>0</v>
      </c>
      <c r="G87">
        <f ca="1" t="shared" si="23"/>
        <v>17</v>
      </c>
      <c r="H87">
        <f ca="1" t="shared" si="30"/>
        <v>0</v>
      </c>
      <c r="I87">
        <f ca="1" t="shared" si="31"/>
        <v>0</v>
      </c>
      <c r="J87" s="393" t="s">
        <v>103</v>
      </c>
      <c r="K87" s="162" t="str">
        <f t="shared" si="24"/>
        <v>7.2.17.</v>
      </c>
      <c r="L87" s="394" t="s">
        <v>233</v>
      </c>
      <c r="M87" s="394" t="s">
        <v>281</v>
      </c>
      <c r="N87" s="396" t="s">
        <v>437</v>
      </c>
      <c r="O87" s="397" t="s">
        <v>481</v>
      </c>
      <c r="P87" s="225">
        <f ca="1">OFFSET(PLQ!$E$12,ROW($P87)-ROW(P$12),0)</f>
        <v>3</v>
      </c>
      <c r="Q87" s="229"/>
      <c r="R87" s="232" t="s">
        <v>7</v>
      </c>
      <c r="S87" s="121">
        <f t="shared" si="25"/>
        <v>0</v>
      </c>
      <c r="T87" s="98">
        <f t="shared" si="26"/>
        <v>0</v>
      </c>
      <c r="U87" s="13" t="str">
        <f t="shared" si="27"/>
        <v>SEM VALOR</v>
      </c>
      <c r="V87" s="4">
        <f ca="1">IF(OR($A87=0,$A87="S",$A87&gt;CFF!$A$9),"",MAX(V$12:OFFSET(V87,-1,0))+1)</f>
      </c>
      <c r="W87" s="9" t="str">
        <f t="shared" si="28"/>
        <v>SINAPI-89709</v>
      </c>
      <c r="X87" s="4">
        <f ca="1" t="shared" si="29"/>
        <v>10008</v>
      </c>
      <c r="Y87" s="121">
        <v>25.29</v>
      </c>
      <c r="Z87" s="132">
        <f>ROUND(IF(ISNUMBER(R87),R87,IF(LEFT(R87,3)="BDI",HLOOKUP(R87,DADOS!$T$37:$X$38,2,FALSE),0)),15-11*$X$5)</f>
        <v>0.21</v>
      </c>
      <c r="AA87" s="4"/>
    </row>
    <row r="88" spans="1:27" ht="12.75">
      <c r="A88" t="str">
        <f t="shared" si="17"/>
        <v>S</v>
      </c>
      <c r="B88">
        <f t="shared" si="18"/>
        <v>0</v>
      </c>
      <c r="C88">
        <f ca="1" t="shared" si="19"/>
        <v>7</v>
      </c>
      <c r="D88">
        <f ca="1" t="shared" si="20"/>
        <v>2</v>
      </c>
      <c r="E88">
        <f ca="1" t="shared" si="21"/>
        <v>0</v>
      </c>
      <c r="F88">
        <f ca="1" t="shared" si="22"/>
        <v>0</v>
      </c>
      <c r="G88">
        <f ca="1" t="shared" si="23"/>
        <v>18</v>
      </c>
      <c r="H88">
        <f ca="1" t="shared" si="30"/>
        <v>0</v>
      </c>
      <c r="I88">
        <f ca="1" t="shared" si="31"/>
        <v>0</v>
      </c>
      <c r="J88" s="393" t="s">
        <v>103</v>
      </c>
      <c r="K88" s="162" t="str">
        <f t="shared" si="24"/>
        <v>7.2.18.</v>
      </c>
      <c r="L88" s="394" t="s">
        <v>260</v>
      </c>
      <c r="M88" s="394" t="s">
        <v>282</v>
      </c>
      <c r="N88" s="396" t="s">
        <v>438</v>
      </c>
      <c r="O88" s="397" t="s">
        <v>486</v>
      </c>
      <c r="P88" s="225">
        <f ca="1">OFFSET(PLQ!$E$12,ROW($P88)-ROW(P$12),0)</f>
        <v>7</v>
      </c>
      <c r="Q88" s="229"/>
      <c r="R88" s="232" t="s">
        <v>7</v>
      </c>
      <c r="S88" s="121">
        <f t="shared" si="25"/>
        <v>0</v>
      </c>
      <c r="T88" s="98">
        <f t="shared" si="26"/>
        <v>0</v>
      </c>
      <c r="U88" s="13" t="str">
        <f t="shared" si="27"/>
        <v>SEM VALOR</v>
      </c>
      <c r="V88" s="4">
        <f ca="1">IF(OR($A88=0,$A88="S",$A88&gt;CFF!$A$9),"",MAX(V$12:OFFSET(V88,-1,0))+1)</f>
      </c>
      <c r="W88" s="9" t="str">
        <f t="shared" si="28"/>
        <v>SINAPI-I-11732</v>
      </c>
      <c r="X88" s="4">
        <f ca="1" t="shared" si="29"/>
        <v>2209</v>
      </c>
      <c r="Y88" s="121">
        <v>30.73</v>
      </c>
      <c r="Z88" s="132">
        <f>ROUND(IF(ISNUMBER(R88),R88,IF(LEFT(R88,3)="BDI",HLOOKUP(R88,DADOS!$T$37:$X$38,2,FALSE),0)),15-11*$X$5)</f>
        <v>0.21</v>
      </c>
      <c r="AA88" s="4"/>
    </row>
    <row r="89" spans="1:27" ht="25.5">
      <c r="A89" t="str">
        <f t="shared" si="17"/>
        <v>S</v>
      </c>
      <c r="B89">
        <f t="shared" si="18"/>
        <v>0</v>
      </c>
      <c r="C89">
        <f ca="1" t="shared" si="19"/>
        <v>7</v>
      </c>
      <c r="D89">
        <f ca="1" t="shared" si="20"/>
        <v>2</v>
      </c>
      <c r="E89">
        <f ca="1" t="shared" si="21"/>
        <v>0</v>
      </c>
      <c r="F89">
        <f ca="1" t="shared" si="22"/>
        <v>0</v>
      </c>
      <c r="G89">
        <f ca="1" t="shared" si="23"/>
        <v>19</v>
      </c>
      <c r="H89">
        <f ca="1" t="shared" si="30"/>
        <v>0</v>
      </c>
      <c r="I89">
        <f ca="1" t="shared" si="31"/>
        <v>0</v>
      </c>
      <c r="J89" s="393" t="s">
        <v>103</v>
      </c>
      <c r="K89" s="162" t="str">
        <f t="shared" si="24"/>
        <v>7.2.19.</v>
      </c>
      <c r="L89" s="394" t="s">
        <v>233</v>
      </c>
      <c r="M89" s="394" t="s">
        <v>283</v>
      </c>
      <c r="N89" s="396" t="s">
        <v>439</v>
      </c>
      <c r="O89" s="397" t="s">
        <v>481</v>
      </c>
      <c r="P89" s="225">
        <f ca="1">OFFSET(PLQ!$E$12,ROW($P89)-ROW(P$12),0)</f>
        <v>2</v>
      </c>
      <c r="Q89" s="229"/>
      <c r="R89" s="232" t="s">
        <v>7</v>
      </c>
      <c r="S89" s="121">
        <f t="shared" si="25"/>
        <v>0</v>
      </c>
      <c r="T89" s="98">
        <f t="shared" si="26"/>
        <v>0</v>
      </c>
      <c r="U89" s="13" t="str">
        <f t="shared" si="27"/>
        <v>SEM VALOR</v>
      </c>
      <c r="V89" s="4">
        <f ca="1">IF(OR($A89=0,$A89="S",$A89&gt;CFF!$A$9),"",MAX(V$12:OFFSET(V89,-1,0))+1)</f>
      </c>
      <c r="W89" s="9" t="str">
        <f t="shared" si="28"/>
        <v>SINAPI-97901</v>
      </c>
      <c r="X89" s="4">
        <f ca="1" t="shared" si="29"/>
        <v>9943</v>
      </c>
      <c r="Y89" s="121">
        <v>350.2</v>
      </c>
      <c r="Z89" s="132">
        <f>ROUND(IF(ISNUMBER(R89),R89,IF(LEFT(R89,3)="BDI",HLOOKUP(R89,DADOS!$T$37:$X$38,2,FALSE),0)),15-11*$X$5)</f>
        <v>0.21</v>
      </c>
      <c r="AA89" s="4"/>
    </row>
    <row r="90" spans="1:27" ht="12.75">
      <c r="A90">
        <f t="shared" si="17"/>
        <v>2</v>
      </c>
      <c r="B90">
        <f t="shared" si="18"/>
        <v>9</v>
      </c>
      <c r="C90">
        <f ca="1" t="shared" si="19"/>
        <v>7</v>
      </c>
      <c r="D90">
        <f ca="1" t="shared" si="20"/>
        <v>3</v>
      </c>
      <c r="E90">
        <f ca="1" t="shared" si="21"/>
        <v>0</v>
      </c>
      <c r="F90">
        <f ca="1" t="shared" si="22"/>
        <v>0</v>
      </c>
      <c r="G90">
        <f ca="1" t="shared" si="23"/>
        <v>0</v>
      </c>
      <c r="H90">
        <f ca="1" t="shared" si="30"/>
        <v>19</v>
      </c>
      <c r="I90">
        <f ca="1" t="shared" si="31"/>
        <v>9</v>
      </c>
      <c r="J90" s="393" t="s">
        <v>100</v>
      </c>
      <c r="K90" s="162" t="str">
        <f t="shared" si="24"/>
        <v>7.3.</v>
      </c>
      <c r="L90" s="394"/>
      <c r="M90" s="394"/>
      <c r="N90" s="396" t="s">
        <v>284</v>
      </c>
      <c r="O90" s="397" t="s">
        <v>106</v>
      </c>
      <c r="P90" s="225">
        <f ca="1">OFFSET(PLQ!$E$12,ROW($P90)-ROW(P$12),0)</f>
        <v>0</v>
      </c>
      <c r="Q90" s="229"/>
      <c r="R90" s="232" t="s">
        <v>7</v>
      </c>
      <c r="S90" s="121">
        <f t="shared" si="25"/>
        <v>0</v>
      </c>
      <c r="T90" s="98">
        <f t="shared" si="26"/>
        <v>0</v>
      </c>
      <c r="U90" s="13" t="str">
        <f t="shared" si="27"/>
        <v>SEM VALOR</v>
      </c>
      <c r="V90" s="4">
        <f ca="1">IF(OR($A90=0,$A90="S",$A90&gt;CFF!$A$9),"",MAX(V$12:OFFSET(V90,-1,0))+1)</f>
        <v>19</v>
      </c>
      <c r="W90" s="9" t="b">
        <f t="shared" si="28"/>
        <v>0</v>
      </c>
      <c r="X90" s="4" t="str">
        <f ca="1" t="shared" si="29"/>
        <v>X</v>
      </c>
      <c r="Y90" s="121">
        <v>0</v>
      </c>
      <c r="Z90" s="132">
        <f>ROUND(IF(ISNUMBER(R90),R90,IF(LEFT(R90,3)="BDI",HLOOKUP(R90,DADOS!$T$37:$X$38,2,FALSE),0)),15-11*$X$5)</f>
        <v>0.21</v>
      </c>
      <c r="AA90" s="4"/>
    </row>
    <row r="91" spans="1:27" ht="25.5">
      <c r="A91" t="str">
        <f t="shared" si="17"/>
        <v>S</v>
      </c>
      <c r="B91">
        <f t="shared" si="18"/>
        <v>0</v>
      </c>
      <c r="C91">
        <f ca="1" t="shared" si="19"/>
        <v>7</v>
      </c>
      <c r="D91">
        <f ca="1" t="shared" si="20"/>
        <v>3</v>
      </c>
      <c r="E91">
        <f ca="1" t="shared" si="21"/>
        <v>0</v>
      </c>
      <c r="F91">
        <f ca="1" t="shared" si="22"/>
        <v>0</v>
      </c>
      <c r="G91">
        <f ca="1" t="shared" si="23"/>
        <v>1</v>
      </c>
      <c r="H91">
        <f ca="1" t="shared" si="30"/>
        <v>0</v>
      </c>
      <c r="I91">
        <f ca="1" t="shared" si="31"/>
        <v>0</v>
      </c>
      <c r="J91" s="393" t="s">
        <v>103</v>
      </c>
      <c r="K91" s="162" t="str">
        <f t="shared" si="24"/>
        <v>7.3.1.</v>
      </c>
      <c r="L91" s="394" t="s">
        <v>233</v>
      </c>
      <c r="M91" s="394" t="s">
        <v>354</v>
      </c>
      <c r="N91" s="396" t="s">
        <v>440</v>
      </c>
      <c r="O91" s="397" t="s">
        <v>481</v>
      </c>
      <c r="P91" s="225">
        <f ca="1">OFFSET(PLQ!$E$12,ROW($P91)-ROW(P$12),0)</f>
        <v>3</v>
      </c>
      <c r="Q91" s="229"/>
      <c r="R91" s="232" t="s">
        <v>7</v>
      </c>
      <c r="S91" s="121">
        <f t="shared" si="25"/>
        <v>0</v>
      </c>
      <c r="T91" s="98">
        <f t="shared" si="26"/>
        <v>0</v>
      </c>
      <c r="U91" s="13" t="str">
        <f t="shared" si="27"/>
        <v>SEM VALOR</v>
      </c>
      <c r="V91" s="4">
        <f ca="1">IF(OR($A91=0,$A91="S",$A91&gt;CFF!$A$9),"",MAX(V$12:OFFSET(V91,-1,0))+1)</f>
      </c>
      <c r="W91" s="9" t="str">
        <f t="shared" si="28"/>
        <v>SINAPI-92002</v>
      </c>
      <c r="X91" s="4">
        <f ca="1" t="shared" si="29"/>
        <v>7996</v>
      </c>
      <c r="Y91" s="121">
        <v>58.77</v>
      </c>
      <c r="Z91" s="132">
        <f>ROUND(IF(ISNUMBER(R91),R91,IF(LEFT(R91,3)="BDI",HLOOKUP(R91,DADOS!$T$37:$X$38,2,FALSE),0)),15-11*$X$5)</f>
        <v>0.21</v>
      </c>
      <c r="AA91" s="4"/>
    </row>
    <row r="92" spans="1:27" ht="25.5">
      <c r="A92" t="str">
        <f t="shared" si="17"/>
        <v>S</v>
      </c>
      <c r="B92">
        <f t="shared" si="18"/>
        <v>0</v>
      </c>
      <c r="C92">
        <f ca="1" t="shared" si="19"/>
        <v>7</v>
      </c>
      <c r="D92">
        <f ca="1" t="shared" si="20"/>
        <v>3</v>
      </c>
      <c r="E92">
        <f ca="1" t="shared" si="21"/>
        <v>0</v>
      </c>
      <c r="F92">
        <f ca="1" t="shared" si="22"/>
        <v>0</v>
      </c>
      <c r="G92">
        <f ca="1" t="shared" si="23"/>
        <v>2</v>
      </c>
      <c r="H92">
        <f ca="1" t="shared" si="30"/>
        <v>0</v>
      </c>
      <c r="I92">
        <f ca="1" t="shared" si="31"/>
        <v>0</v>
      </c>
      <c r="J92" s="393" t="s">
        <v>103</v>
      </c>
      <c r="K92" s="162" t="str">
        <f t="shared" si="24"/>
        <v>7.3.2.</v>
      </c>
      <c r="L92" s="394" t="s">
        <v>233</v>
      </c>
      <c r="M92" s="394" t="s">
        <v>288</v>
      </c>
      <c r="N92" s="396" t="s">
        <v>441</v>
      </c>
      <c r="O92" s="397" t="s">
        <v>481</v>
      </c>
      <c r="P92" s="225">
        <f ca="1">OFFSET(PLQ!$E$12,ROW($P92)-ROW(P$12),0)</f>
        <v>3</v>
      </c>
      <c r="Q92" s="229"/>
      <c r="R92" s="232" t="s">
        <v>7</v>
      </c>
      <c r="S92" s="121">
        <f t="shared" si="25"/>
        <v>0</v>
      </c>
      <c r="T92" s="98">
        <f t="shared" si="26"/>
        <v>0</v>
      </c>
      <c r="U92" s="13" t="str">
        <f t="shared" si="27"/>
        <v>SEM VALOR</v>
      </c>
      <c r="V92" s="4">
        <f ca="1">IF(OR($A92=0,$A92="S",$A92&gt;CFF!$A$9),"",MAX(V$12:OFFSET(V92,-1,0))+1)</f>
      </c>
      <c r="W92" s="9" t="str">
        <f t="shared" si="28"/>
        <v>SINAPI-91953</v>
      </c>
      <c r="X92" s="4">
        <f ca="1" t="shared" si="29"/>
        <v>7947</v>
      </c>
      <c r="Y92" s="121">
        <v>39.06</v>
      </c>
      <c r="Z92" s="132">
        <f>ROUND(IF(ISNUMBER(R92),R92,IF(LEFT(R92,3)="BDI",HLOOKUP(R92,DADOS!$T$37:$X$38,2,FALSE),0)),15-11*$X$5)</f>
        <v>0.21</v>
      </c>
      <c r="AA92" s="4"/>
    </row>
    <row r="93" spans="1:27" ht="25.5">
      <c r="A93" t="str">
        <f t="shared" si="17"/>
        <v>S</v>
      </c>
      <c r="B93">
        <f t="shared" si="18"/>
        <v>0</v>
      </c>
      <c r="C93">
        <f ca="1" t="shared" si="19"/>
        <v>7</v>
      </c>
      <c r="D93">
        <f ca="1" t="shared" si="20"/>
        <v>3</v>
      </c>
      <c r="E93">
        <f ca="1" t="shared" si="21"/>
        <v>0</v>
      </c>
      <c r="F93">
        <f ca="1" t="shared" si="22"/>
        <v>0</v>
      </c>
      <c r="G93">
        <f ca="1" t="shared" si="23"/>
        <v>3</v>
      </c>
      <c r="H93">
        <f ca="1" t="shared" si="30"/>
        <v>0</v>
      </c>
      <c r="I93">
        <f ca="1" t="shared" si="31"/>
        <v>0</v>
      </c>
      <c r="J93" s="393" t="s">
        <v>103</v>
      </c>
      <c r="K93" s="162" t="str">
        <f t="shared" si="24"/>
        <v>7.3.3.</v>
      </c>
      <c r="L93" s="394" t="s">
        <v>233</v>
      </c>
      <c r="M93" s="394" t="s">
        <v>285</v>
      </c>
      <c r="N93" s="396" t="s">
        <v>442</v>
      </c>
      <c r="O93" s="397" t="s">
        <v>480</v>
      </c>
      <c r="P93" s="225">
        <f ca="1">OFFSET(PLQ!$E$12,ROW($P93)-ROW(P$12),0)</f>
        <v>200</v>
      </c>
      <c r="Q93" s="229"/>
      <c r="R93" s="232" t="s">
        <v>7</v>
      </c>
      <c r="S93" s="121">
        <f t="shared" si="25"/>
        <v>0</v>
      </c>
      <c r="T93" s="98">
        <f t="shared" si="26"/>
        <v>0</v>
      </c>
      <c r="U93" s="13" t="str">
        <f t="shared" si="27"/>
        <v>SEM VALOR</v>
      </c>
      <c r="V93" s="4">
        <f ca="1">IF(OR($A93=0,$A93="S",$A93&gt;CFF!$A$9),"",MAX(V$12:OFFSET(V93,-1,0))+1)</f>
      </c>
      <c r="W93" s="9" t="str">
        <f t="shared" si="28"/>
        <v>SINAPI-91925</v>
      </c>
      <c r="X93" s="4">
        <f ca="1" t="shared" si="29"/>
        <v>7787</v>
      </c>
      <c r="Y93" s="121">
        <v>4.25</v>
      </c>
      <c r="Z93" s="132">
        <f>ROUND(IF(ISNUMBER(R93),R93,IF(LEFT(R93,3)="BDI",HLOOKUP(R93,DADOS!$T$37:$X$38,2,FALSE),0)),15-11*$X$5)</f>
        <v>0.21</v>
      </c>
      <c r="AA93" s="4"/>
    </row>
    <row r="94" spans="1:27" ht="25.5">
      <c r="A94" t="str">
        <f t="shared" si="17"/>
        <v>S</v>
      </c>
      <c r="B94">
        <f t="shared" si="18"/>
        <v>0</v>
      </c>
      <c r="C94">
        <f ca="1" t="shared" si="19"/>
        <v>7</v>
      </c>
      <c r="D94">
        <f ca="1" t="shared" si="20"/>
        <v>3</v>
      </c>
      <c r="E94">
        <f ca="1" t="shared" si="21"/>
        <v>0</v>
      </c>
      <c r="F94">
        <f ca="1" t="shared" si="22"/>
        <v>0</v>
      </c>
      <c r="G94">
        <f ca="1" t="shared" si="23"/>
        <v>4</v>
      </c>
      <c r="H94">
        <f ca="1" t="shared" si="30"/>
        <v>0</v>
      </c>
      <c r="I94">
        <f ca="1" t="shared" si="31"/>
        <v>0</v>
      </c>
      <c r="J94" s="393" t="s">
        <v>103</v>
      </c>
      <c r="K94" s="162" t="str">
        <f t="shared" si="24"/>
        <v>7.3.4.</v>
      </c>
      <c r="L94" s="394" t="s">
        <v>233</v>
      </c>
      <c r="M94" s="394" t="s">
        <v>286</v>
      </c>
      <c r="N94" s="396" t="s">
        <v>443</v>
      </c>
      <c r="O94" s="397" t="s">
        <v>480</v>
      </c>
      <c r="P94" s="225">
        <f ca="1">OFFSET(PLQ!$E$12,ROW($P94)-ROW(P$12),0)</f>
        <v>200</v>
      </c>
      <c r="Q94" s="229"/>
      <c r="R94" s="232" t="s">
        <v>7</v>
      </c>
      <c r="S94" s="121">
        <f t="shared" si="25"/>
        <v>0</v>
      </c>
      <c r="T94" s="98">
        <f t="shared" si="26"/>
        <v>0</v>
      </c>
      <c r="U94" s="13" t="str">
        <f t="shared" si="27"/>
        <v>SEM VALOR</v>
      </c>
      <c r="V94" s="4">
        <f ca="1">IF(OR($A94=0,$A94="S",$A94&gt;CFF!$A$9),"",MAX(V$12:OFFSET(V94,-1,0))+1)</f>
      </c>
      <c r="W94" s="9" t="str">
        <f t="shared" si="28"/>
        <v>SINAPI-91926</v>
      </c>
      <c r="X94" s="4">
        <f ca="1" t="shared" si="29"/>
        <v>7788</v>
      </c>
      <c r="Y94" s="121">
        <v>5.09</v>
      </c>
      <c r="Z94" s="132">
        <f>ROUND(IF(ISNUMBER(R94),R94,IF(LEFT(R94,3)="BDI",HLOOKUP(R94,DADOS!$T$37:$X$38,2,FALSE),0)),15-11*$X$5)</f>
        <v>0.21</v>
      </c>
      <c r="AA94" s="4"/>
    </row>
    <row r="95" spans="1:27" ht="25.5">
      <c r="A95" t="str">
        <f t="shared" si="17"/>
        <v>S</v>
      </c>
      <c r="B95">
        <f t="shared" si="18"/>
        <v>0</v>
      </c>
      <c r="C95">
        <f ca="1" t="shared" si="19"/>
        <v>7</v>
      </c>
      <c r="D95">
        <f ca="1" t="shared" si="20"/>
        <v>3</v>
      </c>
      <c r="E95">
        <f ca="1" t="shared" si="21"/>
        <v>0</v>
      </c>
      <c r="F95">
        <f ca="1" t="shared" si="22"/>
        <v>0</v>
      </c>
      <c r="G95">
        <f ca="1" t="shared" si="23"/>
        <v>5</v>
      </c>
      <c r="H95">
        <f ca="1" t="shared" si="30"/>
        <v>0</v>
      </c>
      <c r="I95">
        <f ca="1" t="shared" si="31"/>
        <v>0</v>
      </c>
      <c r="J95" s="393" t="s">
        <v>103</v>
      </c>
      <c r="K95" s="162" t="str">
        <f t="shared" si="24"/>
        <v>7.3.5.</v>
      </c>
      <c r="L95" s="394" t="s">
        <v>233</v>
      </c>
      <c r="M95" s="394" t="s">
        <v>287</v>
      </c>
      <c r="N95" s="396" t="s">
        <v>444</v>
      </c>
      <c r="O95" s="397" t="s">
        <v>480</v>
      </c>
      <c r="P95" s="225">
        <f ca="1">OFFSET(PLQ!$E$12,ROW($P95)-ROW(P$12),0)</f>
        <v>200</v>
      </c>
      <c r="Q95" s="229"/>
      <c r="R95" s="232" t="s">
        <v>7</v>
      </c>
      <c r="S95" s="121">
        <f t="shared" si="25"/>
        <v>0</v>
      </c>
      <c r="T95" s="98">
        <f t="shared" si="26"/>
        <v>0</v>
      </c>
      <c r="U95" s="13" t="str">
        <f t="shared" si="27"/>
        <v>SEM VALOR</v>
      </c>
      <c r="V95" s="4">
        <f ca="1">IF(OR($A95=0,$A95="S",$A95&gt;CFF!$A$9),"",MAX(V$12:OFFSET(V95,-1,0))+1)</f>
      </c>
      <c r="W95" s="9" t="str">
        <f t="shared" si="28"/>
        <v>SINAPI-91928</v>
      </c>
      <c r="X95" s="4">
        <f ca="1" t="shared" si="29"/>
        <v>7790</v>
      </c>
      <c r="Y95" s="121">
        <v>7.89</v>
      </c>
      <c r="Z95" s="132">
        <f>ROUND(IF(ISNUMBER(R95),R95,IF(LEFT(R95,3)="BDI",HLOOKUP(R95,DADOS!$T$37:$X$38,2,FALSE),0)),15-11*$X$5)</f>
        <v>0.21</v>
      </c>
      <c r="AA95" s="4"/>
    </row>
    <row r="96" spans="1:27" ht="12.75">
      <c r="A96" t="str">
        <f>CHOOSE(1+LOG(1+2*(J96="Meta")+4*(J96="Nível 2")+8*(J96="Nível 3")+16*(J96="Nível 4")+32*(J96="Serviço"),2),0,1,2,3,4,"S")</f>
        <v>S</v>
      </c>
      <c r="B96">
        <f>IF(OR(A96="S",A96=0),0,IF(ISERROR(I96),H96,SMALL(H96:I96,1)))</f>
        <v>0</v>
      </c>
      <c r="C96">
        <f ca="1">IF($A96=1,OFFSET(C96,-1,0)+1,OFFSET(C96,-1,0))</f>
        <v>7</v>
      </c>
      <c r="D96">
        <f ca="1">IF($A96=1,0,IF($A96=2,OFFSET(D96,-1,0)+1,OFFSET(D96,-1,0)))</f>
        <v>3</v>
      </c>
      <c r="E96">
        <f ca="1">IF(AND($A96&lt;=2,$A96&lt;&gt;0),0,IF($A96=3,OFFSET(E96,-1,0)+1,OFFSET(E96,-1,0)))</f>
        <v>0</v>
      </c>
      <c r="F96">
        <f ca="1">IF(AND($A96&lt;=3,$A96&lt;&gt;0),0,IF($A96=4,OFFSET(F96,-1,0)+1,OFFSET(F96,-1,0)))</f>
        <v>0</v>
      </c>
      <c r="G96">
        <f ca="1">IF(AND($A96&lt;=4,$A96&lt;&gt;0),0,IF($A96="S",OFFSET(G96,-1,0)+1,OFFSET(G96,-1,0)))</f>
        <v>6</v>
      </c>
      <c r="H96">
        <f ca="1" t="shared" si="30"/>
        <v>0</v>
      </c>
      <c r="I96">
        <f ca="1" t="shared" si="31"/>
        <v>0</v>
      </c>
      <c r="J96" s="393" t="s">
        <v>103</v>
      </c>
      <c r="K96" s="162" t="str">
        <f>IF($A96=0,"-",CONCATENATE(C96&amp;".",IF(AND($A$5&gt;=2,$A96&gt;=2),D96&amp;".",""),IF(AND($A$5&gt;=3,$A96&gt;=3),E96&amp;".",""),IF(AND($A$5&gt;=4,$A96&gt;=4),F96&amp;".",""),IF($A96="S",G96&amp;".","")))</f>
        <v>7.3.6.</v>
      </c>
      <c r="L96" s="395" t="s">
        <v>317</v>
      </c>
      <c r="M96" s="395" t="s">
        <v>314</v>
      </c>
      <c r="N96" s="396" t="s">
        <v>445</v>
      </c>
      <c r="O96" s="397" t="s">
        <v>487</v>
      </c>
      <c r="P96" s="225">
        <f ca="1">OFFSET(PLQ!$E$12,ROW($P96)-ROW(P$12),0)</f>
        <v>8</v>
      </c>
      <c r="Q96" s="229"/>
      <c r="R96" s="232" t="s">
        <v>7</v>
      </c>
      <c r="S96" s="121">
        <f>IF($A96="S",IF($Q$10="Preço Unitário (R$)",PO.CustoUnitario,ROUND(PO.CustoUnitario*(1+$Z96),15-13*$X$6)),0)</f>
        <v>0</v>
      </c>
      <c r="T96" s="98">
        <f>IF($A96="S",VTOTAL1,IF($A96=0,0,ROUND(SomaAgrup,15-13*$X$7)))</f>
        <v>0</v>
      </c>
      <c r="U96" s="13" t="str">
        <f>IF($J96="","",IF($N96="","DESCRIÇÃO",IF(AND($J96="Serviço",$O96=""),"UNIDADE",IF($T96&lt;=0,"SEM VALOR",IF(AND($Y96&lt;&gt;"",$Q96&gt;$Y96),"ACIMA REF.","")))))</f>
        <v>SEM VALOR</v>
      </c>
      <c r="V96" s="4">
        <f ca="1">IF(OR($A96=0,$A96="S",$A96&gt;CFF!$A$9),"",MAX(V$12:OFFSET(V96,-1,0))+1)</f>
      </c>
      <c r="W96" s="9" t="str">
        <f>IF(AND($J96="Serviço",$M96&lt;&gt;""),IF($L96="",$M96,CONCATENATE($L96,"-",$M96)))</f>
        <v>COMPOSIÇÃO-5</v>
      </c>
      <c r="X96" s="4">
        <f ca="1">IF(AND(Fonte&lt;&gt;"",Código&lt;&gt;""),MATCH(Fonte&amp;" "&amp;IF(Fonte="sinapi",SUBSTITUTE(SUBSTITUTE(Código,"/00","/"),"/0","/"),Código),INDIRECT("'[Referência "&amp;DATABASE&amp;".xls]Banco'!$a:$a"),0),"X")</f>
        <v>10</v>
      </c>
      <c r="Y96" s="121">
        <v>79.62</v>
      </c>
      <c r="Z96" s="132">
        <f>ROUND(IF(ISNUMBER(R96),R96,IF(LEFT(R96,3)="BDI",HLOOKUP(R96,DADOS!$T$37:$X$38,2,FALSE),0)),15-11*$X$5)</f>
        <v>0.21</v>
      </c>
      <c r="AA96" s="4"/>
    </row>
    <row r="97" spans="1:27" ht="12.75">
      <c r="A97" t="str">
        <f>CHOOSE(1+LOG(1+2*(J97="Meta")+4*(J97="Nível 2")+8*(J97="Nível 3")+16*(J97="Nível 4")+32*(J97="Serviço"),2),0,1,2,3,4,"S")</f>
        <v>S</v>
      </c>
      <c r="B97">
        <f>IF(OR(A97="S",A97=0),0,IF(ISERROR(I97),H97,SMALL(H97:I97,1)))</f>
        <v>0</v>
      </c>
      <c r="C97">
        <f ca="1">IF($A97=1,OFFSET(C97,-1,0)+1,OFFSET(C97,-1,0))</f>
        <v>7</v>
      </c>
      <c r="D97">
        <f ca="1">IF($A97=1,0,IF($A97=2,OFFSET(D97,-1,0)+1,OFFSET(D97,-1,0)))</f>
        <v>3</v>
      </c>
      <c r="E97">
        <f ca="1">IF(AND($A97&lt;=2,$A97&lt;&gt;0),0,IF($A97=3,OFFSET(E97,-1,0)+1,OFFSET(E97,-1,0)))</f>
        <v>0</v>
      </c>
      <c r="F97">
        <f ca="1">IF(AND($A97&lt;=3,$A97&lt;&gt;0),0,IF($A97=4,OFFSET(F97,-1,0)+1,OFFSET(F97,-1,0)))</f>
        <v>0</v>
      </c>
      <c r="G97">
        <f ca="1">IF(AND($A97&lt;=4,$A97&lt;&gt;0),0,IF($A97="S",OFFSET(G97,-1,0)+1,OFFSET(G97,-1,0)))</f>
        <v>7</v>
      </c>
      <c r="H97">
        <f ca="1" t="shared" si="30"/>
        <v>0</v>
      </c>
      <c r="I97">
        <f ca="1" t="shared" si="31"/>
        <v>0</v>
      </c>
      <c r="J97" s="393" t="s">
        <v>103</v>
      </c>
      <c r="K97" s="162" t="str">
        <f>IF($A97=0,"-",CONCATENATE(C97&amp;".",IF(AND($A$5&gt;=2,$A97&gt;=2),D97&amp;".",""),IF(AND($A$5&gt;=3,$A97&gt;=3),E97&amp;".",""),IF(AND($A$5&gt;=4,$A97&gt;=4),F97&amp;".",""),IF($A97="S",G97&amp;".","")))</f>
        <v>7.3.7.</v>
      </c>
      <c r="L97" s="395" t="s">
        <v>317</v>
      </c>
      <c r="M97" s="395" t="s">
        <v>315</v>
      </c>
      <c r="N97" s="396" t="s">
        <v>446</v>
      </c>
      <c r="O97" s="397" t="s">
        <v>487</v>
      </c>
      <c r="P97" s="225">
        <f ca="1">OFFSET(PLQ!$E$12,ROW($P97)-ROW(P$12),0)</f>
        <v>4</v>
      </c>
      <c r="Q97" s="229"/>
      <c r="R97" s="232" t="s">
        <v>7</v>
      </c>
      <c r="S97" s="121">
        <f>IF($A97="S",IF($Q$10="Preço Unitário (R$)",PO.CustoUnitario,ROUND(PO.CustoUnitario*(1+$Z97),15-13*$X$6)),0)</f>
        <v>0</v>
      </c>
      <c r="T97" s="98">
        <f>IF($A97="S",VTOTAL1,IF($A97=0,0,ROUND(SomaAgrup,15-13*$X$7)))</f>
        <v>0</v>
      </c>
      <c r="U97" s="13" t="str">
        <f>IF($J97="","",IF($N97="","DESCRIÇÃO",IF(AND($J97="Serviço",$O97=""),"UNIDADE",IF($T97&lt;=0,"SEM VALOR",IF(AND($Y97&lt;&gt;"",$Q97&gt;$Y97),"ACIMA REF.","")))))</f>
        <v>SEM VALOR</v>
      </c>
      <c r="V97" s="4">
        <f ca="1">IF(OR($A97=0,$A97="S",$A97&gt;CFF!$A$9),"",MAX(V$12:OFFSET(V97,-1,0))+1)</f>
      </c>
      <c r="W97" s="9" t="str">
        <f>IF(AND($J97="Serviço",$M97&lt;&gt;""),IF($L97="",$M97,CONCATENATE($L97,"-",$M97)))</f>
        <v>COMPOSIÇÃO-6</v>
      </c>
      <c r="X97" s="4">
        <f ca="1">IF(AND(Fonte&lt;&gt;"",Código&lt;&gt;""),MATCH(Fonte&amp;" "&amp;IF(Fonte="sinapi",SUBSTITUTE(SUBSTITUTE(Código,"/00","/"),"/0","/"),Código),INDIRECT("'[Referência "&amp;DATABASE&amp;".xls]Banco'!$a:$a"),0),"X")</f>
        <v>11</v>
      </c>
      <c r="Y97" s="121">
        <v>59.65</v>
      </c>
      <c r="Z97" s="132">
        <f>ROUND(IF(ISNUMBER(R97),R97,IF(LEFT(R97,3)="BDI",HLOOKUP(R97,DADOS!$T$37:$X$38,2,FALSE),0)),15-11*$X$5)</f>
        <v>0.21</v>
      </c>
      <c r="AA97" s="4"/>
    </row>
    <row r="98" spans="1:27" ht="12.75">
      <c r="A98" t="str">
        <f>CHOOSE(1+LOG(1+2*(J98="Meta")+4*(J98="Nível 2")+8*(J98="Nível 3")+16*(J98="Nível 4")+32*(J98="Serviço"),2),0,1,2,3,4,"S")</f>
        <v>S</v>
      </c>
      <c r="B98">
        <f>IF(OR(A98="S",A98=0),0,IF(ISERROR(I98),H98,SMALL(H98:I98,1)))</f>
        <v>0</v>
      </c>
      <c r="C98">
        <f ca="1">IF($A98=1,OFFSET(C98,-1,0)+1,OFFSET(C98,-1,0))</f>
        <v>7</v>
      </c>
      <c r="D98">
        <f ca="1">IF($A98=1,0,IF($A98=2,OFFSET(D98,-1,0)+1,OFFSET(D98,-1,0)))</f>
        <v>3</v>
      </c>
      <c r="E98">
        <f ca="1">IF(AND($A98&lt;=2,$A98&lt;&gt;0),0,IF($A98=3,OFFSET(E98,-1,0)+1,OFFSET(E98,-1,0)))</f>
        <v>0</v>
      </c>
      <c r="F98">
        <f ca="1">IF(AND($A98&lt;=3,$A98&lt;&gt;0),0,IF($A98=4,OFFSET(F98,-1,0)+1,OFFSET(F98,-1,0)))</f>
        <v>0</v>
      </c>
      <c r="G98">
        <f ca="1">IF(AND($A98&lt;=4,$A98&lt;&gt;0),0,IF($A98="S",OFFSET(G98,-1,0)+1,OFFSET(G98,-1,0)))</f>
        <v>8</v>
      </c>
      <c r="H98">
        <f ca="1" t="shared" si="30"/>
        <v>0</v>
      </c>
      <c r="I98">
        <f ca="1" t="shared" si="31"/>
        <v>0</v>
      </c>
      <c r="J98" s="393" t="s">
        <v>103</v>
      </c>
      <c r="K98" s="162" t="str">
        <f>IF($A98=0,"-",CONCATENATE(C98&amp;".",IF(AND($A$5&gt;=2,$A98&gt;=2),D98&amp;".",""),IF(AND($A$5&gt;=3,$A98&gt;=3),E98&amp;".",""),IF(AND($A$5&gt;=4,$A98&gt;=4),F98&amp;".",""),IF($A98="S",G98&amp;".","")))</f>
        <v>7.3.8.</v>
      </c>
      <c r="L98" s="395" t="s">
        <v>317</v>
      </c>
      <c r="M98" s="395" t="s">
        <v>316</v>
      </c>
      <c r="N98" s="396" t="s">
        <v>447</v>
      </c>
      <c r="O98" s="397" t="s">
        <v>487</v>
      </c>
      <c r="P98" s="225">
        <f ca="1">OFFSET(PLQ!$E$12,ROW($P98)-ROW(P$12),0)</f>
        <v>3</v>
      </c>
      <c r="Q98" s="229"/>
      <c r="R98" s="232" t="s">
        <v>7</v>
      </c>
      <c r="S98" s="121">
        <f>IF($A98="S",IF($Q$10="Preço Unitário (R$)",PO.CustoUnitario,ROUND(PO.CustoUnitario*(1+$Z98),15-13*$X$6)),0)</f>
        <v>0</v>
      </c>
      <c r="T98" s="98">
        <f>IF($A98="S",VTOTAL1,IF($A98=0,0,ROUND(SomaAgrup,15-13*$X$7)))</f>
        <v>0</v>
      </c>
      <c r="U98" s="13" t="str">
        <f>IF($J98="","",IF($N98="","DESCRIÇÃO",IF(AND($J98="Serviço",$O98=""),"UNIDADE",IF($T98&lt;=0,"SEM VALOR",IF(AND($Y98&lt;&gt;"",$Q98&gt;$Y98),"ACIMA REF.","")))))</f>
        <v>SEM VALOR</v>
      </c>
      <c r="V98" s="4">
        <f ca="1">IF(OR($A98=0,$A98="S",$A98&gt;CFF!$A$9),"",MAX(V$12:OFFSET(V98,-1,0))+1)</f>
      </c>
      <c r="W98" s="9" t="str">
        <f>IF(AND($J98="Serviço",$M98&lt;&gt;""),IF($L98="",$M98,CONCATENATE($L98,"-",$M98)))</f>
        <v>COMPOSIÇÃO-7</v>
      </c>
      <c r="X98" s="4">
        <f ca="1">IF(AND(Fonte&lt;&gt;"",Código&lt;&gt;""),MATCH(Fonte&amp;" "&amp;IF(Fonte="sinapi",SUBSTITUTE(SUBSTITUTE(Código,"/00","/"),"/0","/"),Código),INDIRECT("'[Referência "&amp;DATABASE&amp;".xls]Banco'!$a:$a"),0),"X")</f>
        <v>12</v>
      </c>
      <c r="Y98" s="121">
        <v>68.89</v>
      </c>
      <c r="Z98" s="132">
        <f>ROUND(IF(ISNUMBER(R98),R98,IF(LEFT(R98,3)="BDI",HLOOKUP(R98,DADOS!$T$37:$X$38,2,FALSE),0)),15-11*$X$5)</f>
        <v>0.21</v>
      </c>
      <c r="AA98" s="4"/>
    </row>
    <row r="99" spans="1:27" ht="12.75">
      <c r="A99">
        <f t="shared" si="17"/>
        <v>2</v>
      </c>
      <c r="B99">
        <f t="shared" si="18"/>
        <v>10</v>
      </c>
      <c r="C99">
        <f ca="1" t="shared" si="19"/>
        <v>7</v>
      </c>
      <c r="D99">
        <f ca="1" t="shared" si="20"/>
        <v>4</v>
      </c>
      <c r="E99">
        <f ca="1" t="shared" si="21"/>
        <v>0</v>
      </c>
      <c r="F99">
        <f ca="1" t="shared" si="22"/>
        <v>0</v>
      </c>
      <c r="G99">
        <f ca="1" t="shared" si="23"/>
        <v>0</v>
      </c>
      <c r="H99">
        <f ca="1" t="shared" si="30"/>
        <v>10</v>
      </c>
      <c r="I99">
        <f ca="1" t="shared" si="31"/>
        <v>44</v>
      </c>
      <c r="J99" s="393" t="s">
        <v>100</v>
      </c>
      <c r="K99" s="162" t="str">
        <f t="shared" si="24"/>
        <v>7.4.</v>
      </c>
      <c r="L99" s="394"/>
      <c r="M99" s="394"/>
      <c r="N99" s="396" t="s">
        <v>328</v>
      </c>
      <c r="O99" s="397" t="s">
        <v>106</v>
      </c>
      <c r="P99" s="225">
        <f ca="1">OFFSET(PLQ!$E$12,ROW($P99)-ROW(P$12),0)</f>
        <v>0</v>
      </c>
      <c r="Q99" s="229"/>
      <c r="R99" s="232" t="s">
        <v>7</v>
      </c>
      <c r="S99" s="121">
        <f aca="true" t="shared" si="32" ref="S99:S110">IF($A99="S",IF($Q$10="Preço Unitário (R$)",PO.CustoUnitario,ROUND(PO.CustoUnitario*(1+$Z99),15-13*$X$6)),0)</f>
        <v>0</v>
      </c>
      <c r="T99" s="98">
        <f aca="true" t="shared" si="33" ref="T99:T110">IF($A99="S",VTOTAL1,IF($A99=0,0,ROUND(SomaAgrup,15-13*$X$7)))</f>
        <v>0</v>
      </c>
      <c r="U99" s="13" t="str">
        <f t="shared" si="27"/>
        <v>SEM VALOR</v>
      </c>
      <c r="V99" s="4">
        <f ca="1">IF(OR($A99=0,$A99="S",$A99&gt;CFF!$A$9),"",MAX(V$12:OFFSET(V99,-1,0))+1)</f>
        <v>20</v>
      </c>
      <c r="W99" s="9" t="b">
        <f t="shared" si="28"/>
        <v>0</v>
      </c>
      <c r="X99" s="4" t="str">
        <f aca="true" ca="1" t="shared" si="34" ref="X99:X110">IF(AND(Fonte&lt;&gt;"",Código&lt;&gt;""),MATCH(Fonte&amp;" "&amp;IF(Fonte="sinapi",SUBSTITUTE(SUBSTITUTE(Código,"/00","/"),"/0","/"),Código),INDIRECT("'[Referência "&amp;DATABASE&amp;".xls]Banco'!$a:$a"),0),"X")</f>
        <v>X</v>
      </c>
      <c r="Y99" s="121">
        <v>0</v>
      </c>
      <c r="Z99" s="132">
        <f>ROUND(IF(ISNUMBER(R99),R99,IF(LEFT(R99,3)="BDI",HLOOKUP(R99,DADOS!$T$37:$X$38,2,FALSE),0)),15-11*$X$5)</f>
        <v>0.21</v>
      </c>
      <c r="AA99" s="4"/>
    </row>
    <row r="100" spans="1:27" ht="25.5">
      <c r="A100" t="str">
        <f t="shared" si="17"/>
        <v>S</v>
      </c>
      <c r="B100">
        <f t="shared" si="18"/>
        <v>0</v>
      </c>
      <c r="C100">
        <f ca="1" t="shared" si="19"/>
        <v>7</v>
      </c>
      <c r="D100">
        <f ca="1" t="shared" si="20"/>
        <v>4</v>
      </c>
      <c r="E100">
        <f ca="1" t="shared" si="21"/>
        <v>0</v>
      </c>
      <c r="F100">
        <f ca="1" t="shared" si="22"/>
        <v>0</v>
      </c>
      <c r="G100">
        <f ca="1" t="shared" si="23"/>
        <v>1</v>
      </c>
      <c r="H100">
        <f ca="1" t="shared" si="30"/>
        <v>0</v>
      </c>
      <c r="I100">
        <f ca="1" t="shared" si="31"/>
        <v>0</v>
      </c>
      <c r="J100" s="393" t="s">
        <v>103</v>
      </c>
      <c r="K100" s="162" t="str">
        <f t="shared" si="24"/>
        <v>7.4.1.</v>
      </c>
      <c r="L100" s="394" t="s">
        <v>233</v>
      </c>
      <c r="M100" s="394" t="s">
        <v>289</v>
      </c>
      <c r="N100" s="396" t="s">
        <v>448</v>
      </c>
      <c r="O100" s="397" t="s">
        <v>481</v>
      </c>
      <c r="P100" s="225">
        <f ca="1">OFFSET(PLQ!$E$12,ROW($P100)-ROW(P$12),0)</f>
        <v>2</v>
      </c>
      <c r="Q100" s="229"/>
      <c r="R100" s="232" t="s">
        <v>7</v>
      </c>
      <c r="S100" s="121">
        <f t="shared" si="32"/>
        <v>0</v>
      </c>
      <c r="T100" s="98">
        <f t="shared" si="33"/>
        <v>0</v>
      </c>
      <c r="U100" s="13" t="str">
        <f t="shared" si="27"/>
        <v>SEM VALOR</v>
      </c>
      <c r="V100" s="4">
        <f ca="1">IF(OR($A100=0,$A100="S",$A100&gt;CFF!$A$9),"",MAX(V$12:OFFSET(V100,-1,0))+1)</f>
      </c>
      <c r="W100" s="9" t="str">
        <f t="shared" si="28"/>
        <v>SINAPI-95471</v>
      </c>
      <c r="X100" s="4">
        <f ca="1" t="shared" si="34"/>
        <v>10081</v>
      </c>
      <c r="Y100" s="121">
        <v>887.93</v>
      </c>
      <c r="Z100" s="132">
        <f>ROUND(IF(ISNUMBER(R100),R100,IF(LEFT(R100,3)="BDI",HLOOKUP(R100,DADOS!$T$37:$X$38,2,FALSE),0)),15-11*$X$5)</f>
        <v>0.21</v>
      </c>
      <c r="AA100" s="4"/>
    </row>
    <row r="101" spans="1:27" ht="25.5">
      <c r="A101" t="str">
        <f t="shared" si="17"/>
        <v>S</v>
      </c>
      <c r="B101">
        <f t="shared" si="18"/>
        <v>0</v>
      </c>
      <c r="C101">
        <f ca="1" t="shared" si="19"/>
        <v>7</v>
      </c>
      <c r="D101">
        <f ca="1" t="shared" si="20"/>
        <v>4</v>
      </c>
      <c r="E101">
        <f ca="1" t="shared" si="21"/>
        <v>0</v>
      </c>
      <c r="F101">
        <f ca="1" t="shared" si="22"/>
        <v>0</v>
      </c>
      <c r="G101">
        <f ca="1" t="shared" si="23"/>
        <v>2</v>
      </c>
      <c r="H101">
        <f ca="1" t="shared" si="30"/>
        <v>0</v>
      </c>
      <c r="I101">
        <f ca="1" t="shared" si="31"/>
        <v>0</v>
      </c>
      <c r="J101" s="393" t="s">
        <v>103</v>
      </c>
      <c r="K101" s="162" t="str">
        <f t="shared" si="24"/>
        <v>7.4.2.</v>
      </c>
      <c r="L101" s="394" t="s">
        <v>233</v>
      </c>
      <c r="M101" s="394" t="s">
        <v>290</v>
      </c>
      <c r="N101" s="396" t="s">
        <v>449</v>
      </c>
      <c r="O101" s="397" t="s">
        <v>481</v>
      </c>
      <c r="P101" s="225">
        <f ca="1">OFFSET(PLQ!$E$12,ROW($P101)-ROW(P$12),0)</f>
        <v>2</v>
      </c>
      <c r="Q101" s="229"/>
      <c r="R101" s="232" t="s">
        <v>7</v>
      </c>
      <c r="S101" s="121">
        <f t="shared" si="32"/>
        <v>0</v>
      </c>
      <c r="T101" s="98">
        <f t="shared" si="33"/>
        <v>0</v>
      </c>
      <c r="U101" s="13" t="str">
        <f t="shared" si="27"/>
        <v>SEM VALOR</v>
      </c>
      <c r="V101" s="4">
        <f ca="1">IF(OR($A101=0,$A101="S",$A101&gt;CFF!$A$9),"",MAX(V$12:OFFSET(V101,-1,0))+1)</f>
      </c>
      <c r="W101" s="9" t="str">
        <f t="shared" si="28"/>
        <v>SINAPI-86903</v>
      </c>
      <c r="X101" s="4">
        <f ca="1" t="shared" si="34"/>
        <v>10038</v>
      </c>
      <c r="Y101" s="121">
        <v>421.39</v>
      </c>
      <c r="Z101" s="132">
        <f>ROUND(IF(ISNUMBER(R101),R101,IF(LEFT(R101,3)="BDI",HLOOKUP(R101,DADOS!$T$37:$X$38,2,FALSE),0)),15-11*$X$5)</f>
        <v>0.21</v>
      </c>
      <c r="AA101" s="4"/>
    </row>
    <row r="102" spans="1:27" ht="25.5">
      <c r="A102" t="str">
        <f t="shared" si="17"/>
        <v>S</v>
      </c>
      <c r="B102">
        <f t="shared" si="18"/>
        <v>0</v>
      </c>
      <c r="C102">
        <f ca="1" t="shared" si="19"/>
        <v>7</v>
      </c>
      <c r="D102">
        <f ca="1" t="shared" si="20"/>
        <v>4</v>
      </c>
      <c r="E102">
        <f ca="1" t="shared" si="21"/>
        <v>0</v>
      </c>
      <c r="F102">
        <f ca="1" t="shared" si="22"/>
        <v>0</v>
      </c>
      <c r="G102">
        <f ca="1" t="shared" si="23"/>
        <v>3</v>
      </c>
      <c r="H102">
        <f ca="1" t="shared" si="30"/>
        <v>0</v>
      </c>
      <c r="I102">
        <f ca="1" t="shared" si="31"/>
        <v>0</v>
      </c>
      <c r="J102" s="393" t="s">
        <v>103</v>
      </c>
      <c r="K102" s="162" t="str">
        <f t="shared" si="24"/>
        <v>7.4.3.</v>
      </c>
      <c r="L102" s="394" t="s">
        <v>233</v>
      </c>
      <c r="M102" s="394" t="s">
        <v>291</v>
      </c>
      <c r="N102" s="396" t="s">
        <v>450</v>
      </c>
      <c r="O102" s="397" t="s">
        <v>481</v>
      </c>
      <c r="P102" s="225">
        <f ca="1">OFFSET(PLQ!$E$12,ROW($P102)-ROW(P$12),0)</f>
        <v>4</v>
      </c>
      <c r="Q102" s="229"/>
      <c r="R102" s="232" t="s">
        <v>7</v>
      </c>
      <c r="S102" s="121">
        <f t="shared" si="32"/>
        <v>0</v>
      </c>
      <c r="T102" s="98">
        <f t="shared" si="33"/>
        <v>0</v>
      </c>
      <c r="U102" s="13" t="str">
        <f t="shared" si="27"/>
        <v>SEM VALOR</v>
      </c>
      <c r="V102" s="4">
        <f ca="1">IF(OR($A102=0,$A102="S",$A102&gt;CFF!$A$9),"",MAX(V$12:OFFSET(V102,-1,0))+1)</f>
      </c>
      <c r="W102" s="9" t="str">
        <f t="shared" si="28"/>
        <v>SINAPI-86915</v>
      </c>
      <c r="X102" s="4">
        <f ca="1" t="shared" si="34"/>
        <v>10048</v>
      </c>
      <c r="Y102" s="121">
        <v>267.36</v>
      </c>
      <c r="Z102" s="132">
        <f>ROUND(IF(ISNUMBER(R102),R102,IF(LEFT(R102,3)="BDI",HLOOKUP(R102,DADOS!$T$37:$X$38,2,FALSE),0)),15-11*$X$5)</f>
        <v>0.21</v>
      </c>
      <c r="AA102" s="4"/>
    </row>
    <row r="103" spans="1:27" ht="12.75">
      <c r="A103" t="str">
        <f t="shared" si="17"/>
        <v>S</v>
      </c>
      <c r="B103">
        <f t="shared" si="18"/>
        <v>0</v>
      </c>
      <c r="C103">
        <f ca="1" t="shared" si="19"/>
        <v>7</v>
      </c>
      <c r="D103">
        <f ca="1" t="shared" si="20"/>
        <v>4</v>
      </c>
      <c r="E103">
        <f ca="1" t="shared" si="21"/>
        <v>0</v>
      </c>
      <c r="F103">
        <f ca="1" t="shared" si="22"/>
        <v>0</v>
      </c>
      <c r="G103">
        <f ca="1" t="shared" si="23"/>
        <v>4</v>
      </c>
      <c r="H103">
        <f ca="1" t="shared" si="30"/>
        <v>0</v>
      </c>
      <c r="I103">
        <f ca="1" t="shared" si="31"/>
        <v>0</v>
      </c>
      <c r="J103" s="393" t="s">
        <v>103</v>
      </c>
      <c r="K103" s="162" t="str">
        <f t="shared" si="24"/>
        <v>7.4.4.</v>
      </c>
      <c r="L103" s="394" t="s">
        <v>260</v>
      </c>
      <c r="M103" s="394" t="s">
        <v>292</v>
      </c>
      <c r="N103" s="396" t="s">
        <v>451</v>
      </c>
      <c r="O103" s="397" t="s">
        <v>486</v>
      </c>
      <c r="P103" s="225">
        <f ca="1">OFFSET(PLQ!$E$12,ROW($P103)-ROW(P$12),0)</f>
        <v>4</v>
      </c>
      <c r="Q103" s="229"/>
      <c r="R103" s="232" t="s">
        <v>7</v>
      </c>
      <c r="S103" s="121">
        <f t="shared" si="32"/>
        <v>0</v>
      </c>
      <c r="T103" s="98">
        <f t="shared" si="33"/>
        <v>0</v>
      </c>
      <c r="U103" s="13" t="str">
        <f t="shared" si="27"/>
        <v>SEM VALOR</v>
      </c>
      <c r="V103" s="4">
        <f ca="1">IF(OR($A103=0,$A103="S",$A103&gt;CFF!$A$9),"",MAX(V$12:OFFSET(V103,-1,0))+1)</f>
      </c>
      <c r="W103" s="9" t="str">
        <f t="shared" si="28"/>
        <v>SINAPI-I-6005</v>
      </c>
      <c r="X103" s="4">
        <f ca="1" t="shared" si="34"/>
        <v>3773</v>
      </c>
      <c r="Y103" s="121">
        <v>129.26</v>
      </c>
      <c r="Z103" s="132">
        <f>ROUND(IF(ISNUMBER(R103),R103,IF(LEFT(R103,3)="BDI",HLOOKUP(R103,DADOS!$T$37:$X$38,2,FALSE),0)),15-11*$X$5)</f>
        <v>0.21</v>
      </c>
      <c r="AA103" s="4"/>
    </row>
    <row r="104" spans="1:27" ht="12.75">
      <c r="A104" t="str">
        <f t="shared" si="17"/>
        <v>S</v>
      </c>
      <c r="B104">
        <f t="shared" si="18"/>
        <v>0</v>
      </c>
      <c r="C104">
        <f ca="1" t="shared" si="19"/>
        <v>7</v>
      </c>
      <c r="D104">
        <f ca="1" t="shared" si="20"/>
        <v>4</v>
      </c>
      <c r="E104">
        <f ca="1" t="shared" si="21"/>
        <v>0</v>
      </c>
      <c r="F104">
        <f ca="1" t="shared" si="22"/>
        <v>0</v>
      </c>
      <c r="G104">
        <f ca="1" t="shared" si="23"/>
        <v>5</v>
      </c>
      <c r="H104">
        <f ca="1" t="shared" si="30"/>
        <v>0</v>
      </c>
      <c r="I104">
        <f ca="1" t="shared" si="31"/>
        <v>0</v>
      </c>
      <c r="J104" s="393" t="s">
        <v>103</v>
      </c>
      <c r="K104" s="162" t="str">
        <f t="shared" si="24"/>
        <v>7.4.5.</v>
      </c>
      <c r="L104" s="394" t="s">
        <v>260</v>
      </c>
      <c r="M104" s="394" t="s">
        <v>293</v>
      </c>
      <c r="N104" s="396" t="s">
        <v>452</v>
      </c>
      <c r="O104" s="397" t="s">
        <v>486</v>
      </c>
      <c r="P104" s="225">
        <f ca="1">OFFSET(PLQ!$E$12,ROW($P104)-ROW(P$12),0)</f>
        <v>2</v>
      </c>
      <c r="Q104" s="229"/>
      <c r="R104" s="232" t="s">
        <v>7</v>
      </c>
      <c r="S104" s="121">
        <f t="shared" si="32"/>
        <v>0</v>
      </c>
      <c r="T104" s="98">
        <f t="shared" si="33"/>
        <v>0</v>
      </c>
      <c r="U104" s="13" t="str">
        <f t="shared" si="27"/>
        <v>SEM VALOR</v>
      </c>
      <c r="V104" s="4">
        <f ca="1">IF(OR($A104=0,$A104="S",$A104&gt;CFF!$A$9),"",MAX(V$12:OFFSET(V104,-1,0))+1)</f>
      </c>
      <c r="W104" s="9" t="str">
        <f t="shared" si="28"/>
        <v>SINAPI-I-377</v>
      </c>
      <c r="X104" s="4">
        <f ca="1" t="shared" si="34"/>
        <v>378</v>
      </c>
      <c r="Y104" s="121">
        <v>45.92</v>
      </c>
      <c r="Z104" s="132">
        <f>ROUND(IF(ISNUMBER(R104),R104,IF(LEFT(R104,3)="BDI",HLOOKUP(R104,DADOS!$T$37:$X$38,2,FALSE),0)),15-11*$X$5)</f>
        <v>0.21</v>
      </c>
      <c r="AA104" s="4"/>
    </row>
    <row r="105" spans="1:27" ht="12.75">
      <c r="A105" t="str">
        <f t="shared" si="17"/>
        <v>S</v>
      </c>
      <c r="B105">
        <f t="shared" si="18"/>
        <v>0</v>
      </c>
      <c r="C105">
        <f ca="1" t="shared" si="19"/>
        <v>7</v>
      </c>
      <c r="D105">
        <f ca="1" t="shared" si="20"/>
        <v>4</v>
      </c>
      <c r="E105">
        <f ca="1" t="shared" si="21"/>
        <v>0</v>
      </c>
      <c r="F105">
        <f ca="1" t="shared" si="22"/>
        <v>0</v>
      </c>
      <c r="G105">
        <f ca="1" t="shared" si="23"/>
        <v>6</v>
      </c>
      <c r="H105">
        <f ca="1" t="shared" si="30"/>
        <v>0</v>
      </c>
      <c r="I105">
        <f ca="1" t="shared" si="31"/>
        <v>0</v>
      </c>
      <c r="J105" s="393" t="s">
        <v>103</v>
      </c>
      <c r="K105" s="162" t="str">
        <f t="shared" si="24"/>
        <v>7.4.6.</v>
      </c>
      <c r="L105" s="394" t="s">
        <v>260</v>
      </c>
      <c r="M105" s="394" t="s">
        <v>294</v>
      </c>
      <c r="N105" s="396" t="s">
        <v>453</v>
      </c>
      <c r="O105" s="397" t="s">
        <v>488</v>
      </c>
      <c r="P105" s="225">
        <f ca="1">OFFSET(PLQ!$E$12,ROW($P105)-ROW(P$12),0)</f>
        <v>2</v>
      </c>
      <c r="Q105" s="229"/>
      <c r="R105" s="232" t="s">
        <v>7</v>
      </c>
      <c r="S105" s="121">
        <f t="shared" si="32"/>
        <v>0</v>
      </c>
      <c r="T105" s="98">
        <f t="shared" si="33"/>
        <v>0</v>
      </c>
      <c r="U105" s="13" t="str">
        <f t="shared" si="27"/>
        <v>SEM VALOR</v>
      </c>
      <c r="V105" s="4">
        <f ca="1">IF(OR($A105=0,$A105="S",$A105&gt;CFF!$A$9),"",MAX(V$12:OFFSET(V105,-1,0))+1)</f>
      </c>
      <c r="W105" s="9" t="str">
        <f t="shared" si="28"/>
        <v>SINAPI-I-11186</v>
      </c>
      <c r="X105" s="4">
        <f ca="1" t="shared" si="34"/>
        <v>1965</v>
      </c>
      <c r="Y105" s="121">
        <v>360.74</v>
      </c>
      <c r="Z105" s="132">
        <f>ROUND(IF(ISNUMBER(R105),R105,IF(LEFT(R105,3)="BDI",HLOOKUP(R105,DADOS!$T$37:$X$38,2,FALSE),0)),15-11*$X$5)</f>
        <v>0.21</v>
      </c>
      <c r="AA105" s="4"/>
    </row>
    <row r="106" spans="1:27" ht="12.75">
      <c r="A106" t="str">
        <f t="shared" si="17"/>
        <v>S</v>
      </c>
      <c r="B106">
        <f t="shared" si="18"/>
        <v>0</v>
      </c>
      <c r="C106">
        <f ca="1" t="shared" si="19"/>
        <v>7</v>
      </c>
      <c r="D106">
        <f ca="1" t="shared" si="20"/>
        <v>4</v>
      </c>
      <c r="E106">
        <f ca="1" t="shared" si="21"/>
        <v>0</v>
      </c>
      <c r="F106">
        <f ca="1" t="shared" si="22"/>
        <v>0</v>
      </c>
      <c r="G106">
        <f ca="1" t="shared" si="23"/>
        <v>7</v>
      </c>
      <c r="H106">
        <f ca="1" t="shared" si="30"/>
        <v>0</v>
      </c>
      <c r="I106">
        <f ca="1" t="shared" si="31"/>
        <v>0</v>
      </c>
      <c r="J106" s="393" t="s">
        <v>103</v>
      </c>
      <c r="K106" s="162" t="str">
        <f t="shared" si="24"/>
        <v>7.4.7.</v>
      </c>
      <c r="L106" s="394" t="s">
        <v>233</v>
      </c>
      <c r="M106" s="394" t="s">
        <v>295</v>
      </c>
      <c r="N106" s="396" t="s">
        <v>454</v>
      </c>
      <c r="O106" s="397" t="s">
        <v>481</v>
      </c>
      <c r="P106" s="225">
        <f ca="1">OFFSET(PLQ!$E$12,ROW($P106)-ROW(P$12),0)</f>
        <v>2</v>
      </c>
      <c r="Q106" s="229"/>
      <c r="R106" s="232" t="s">
        <v>7</v>
      </c>
      <c r="S106" s="121">
        <f t="shared" si="32"/>
        <v>0</v>
      </c>
      <c r="T106" s="98">
        <f t="shared" si="33"/>
        <v>0</v>
      </c>
      <c r="U106" s="13" t="str">
        <f t="shared" si="27"/>
        <v>SEM VALOR</v>
      </c>
      <c r="V106" s="4">
        <f ca="1">IF(OR($A106=0,$A106="S",$A106&gt;CFF!$A$9),"",MAX(V$12:OFFSET(V106,-1,0))+1)</f>
      </c>
      <c r="W106" s="9" t="str">
        <f t="shared" si="28"/>
        <v>SINAPI-95546</v>
      </c>
      <c r="X106" s="4">
        <f ca="1" t="shared" si="34"/>
        <v>10087</v>
      </c>
      <c r="Y106" s="121">
        <v>323.07</v>
      </c>
      <c r="Z106" s="132">
        <f>ROUND(IF(ISNUMBER(R106),R106,IF(LEFT(R106,3)="BDI",HLOOKUP(R106,DADOS!$T$37:$X$38,2,FALSE),0)),15-11*$X$5)</f>
        <v>0.21</v>
      </c>
      <c r="AA106" s="4"/>
    </row>
    <row r="107" spans="1:27" ht="38.25">
      <c r="A107" t="str">
        <f>CHOOSE(1+LOG(1+2*(J107="Meta")+4*(J107="Nível 2")+8*(J107="Nível 3")+16*(J107="Nível 4")+32*(J107="Serviço"),2),0,1,2,3,4,"S")</f>
        <v>S</v>
      </c>
      <c r="B107">
        <f>IF(OR(A107="S",A107=0),0,IF(ISERROR(I107),H107,SMALL(H107:I107,1)))</f>
        <v>0</v>
      </c>
      <c r="C107">
        <f ca="1">IF($A107=1,OFFSET(C107,-1,0)+1,OFFSET(C107,-1,0))</f>
        <v>7</v>
      </c>
      <c r="D107">
        <f ca="1">IF($A107=1,0,IF($A107=2,OFFSET(D107,-1,0)+1,OFFSET(D107,-1,0)))</f>
        <v>4</v>
      </c>
      <c r="E107">
        <f ca="1">IF(AND($A107&lt;=2,$A107&lt;&gt;0),0,IF($A107=3,OFFSET(E107,-1,0)+1,OFFSET(E107,-1,0)))</f>
        <v>0</v>
      </c>
      <c r="F107">
        <f ca="1">IF(AND($A107&lt;=3,$A107&lt;&gt;0),0,IF($A107=4,OFFSET(F107,-1,0)+1,OFFSET(F107,-1,0)))</f>
        <v>0</v>
      </c>
      <c r="G107">
        <f ca="1">IF(AND($A107&lt;=4,$A107&lt;&gt;0),0,IF($A107="S",OFFSET(G107,-1,0)+1,OFFSET(G107,-1,0)))</f>
        <v>8</v>
      </c>
      <c r="H107">
        <f ca="1" t="shared" si="30"/>
        <v>0</v>
      </c>
      <c r="I107">
        <f ca="1" t="shared" si="31"/>
        <v>0</v>
      </c>
      <c r="J107" s="393" t="s">
        <v>103</v>
      </c>
      <c r="K107" s="162" t="str">
        <f>IF($A107=0,"-",CONCATENATE(C107&amp;".",IF(AND($A$5&gt;=2,$A107&gt;=2),D107&amp;".",""),IF(AND($A$5&gt;=3,$A107&gt;=3),E107&amp;".",""),IF(AND($A$5&gt;=4,$A107&gt;=4),F107&amp;".",""),IF($A107="S",G107&amp;".","")))</f>
        <v>7.4.8.</v>
      </c>
      <c r="L107" s="394" t="s">
        <v>233</v>
      </c>
      <c r="M107" s="394" t="s">
        <v>324</v>
      </c>
      <c r="N107" s="396" t="s">
        <v>455</v>
      </c>
      <c r="O107" s="397" t="s">
        <v>481</v>
      </c>
      <c r="P107" s="225">
        <f ca="1">OFFSET(PLQ!$E$12,ROW($P107)-ROW(P$12),0)</f>
        <v>2</v>
      </c>
      <c r="Q107" s="229"/>
      <c r="R107" s="232" t="s">
        <v>7</v>
      </c>
      <c r="S107" s="121">
        <f>IF($A107="S",IF($Q$10="Preço Unitário (R$)",PO.CustoUnitario,ROUND(PO.CustoUnitario*(1+$Z107),15-13*$X$6)),0)</f>
        <v>0</v>
      </c>
      <c r="T107" s="98">
        <f>IF($A107="S",VTOTAL1,IF($A107=0,0,ROUND(SomaAgrup,15-13*$X$7)))</f>
        <v>0</v>
      </c>
      <c r="U107" s="13" t="str">
        <f>IF($J107="","",IF($N107="","DESCRIÇÃO",IF(AND($J107="Serviço",$O107=""),"UNIDADE",IF($T107&lt;=0,"SEM VALOR",IF(AND($Y107&lt;&gt;"",$Q107&gt;$Y107),"ACIMA REF.","")))))</f>
        <v>SEM VALOR</v>
      </c>
      <c r="V107" s="4">
        <f ca="1">IF(OR($A107=0,$A107="S",$A107&gt;CFF!$A$9),"",MAX(V$12:OFFSET(V107,-1,0))+1)</f>
      </c>
      <c r="W107" s="9" t="str">
        <f>IF(AND($J107="Serviço",$M107&lt;&gt;""),IF($L107="",$M107,CONCATENATE($L107,"-",$M107)))</f>
        <v>SINAPI-93441</v>
      </c>
      <c r="X107" s="4">
        <f ca="1">IF(AND(Fonte&lt;&gt;"",Código&lt;&gt;""),MATCH(Fonte&amp;" "&amp;IF(Fonte="sinapi",SUBSTITUTE(SUBSTITUTE(Código,"/00","/"),"/0","/"),Código),INDIRECT("'[Referência "&amp;DATABASE&amp;".xls]Banco'!$a:$a"),0),"X")</f>
        <v>10077</v>
      </c>
      <c r="Y107" s="121">
        <v>1501.59</v>
      </c>
      <c r="Z107" s="132">
        <f>ROUND(IF(ISNUMBER(R107),R107,IF(LEFT(R107,3)="BDI",HLOOKUP(R107,DADOS!$T$37:$X$38,2,FALSE),0)),15-11*$X$5)</f>
        <v>0.21</v>
      </c>
      <c r="AA107" s="4"/>
    </row>
    <row r="108" spans="1:27" ht="12.75">
      <c r="A108" t="str">
        <f>CHOOSE(1+LOG(1+2*(J108="Meta")+4*(J108="Nível 2")+8*(J108="Nível 3")+16*(J108="Nível 4")+32*(J108="Serviço"),2),0,1,2,3,4,"S")</f>
        <v>S</v>
      </c>
      <c r="B108">
        <f>IF(OR(A108="S",A108=0),0,IF(ISERROR(I108),H108,SMALL(H108:I108,1)))</f>
        <v>0</v>
      </c>
      <c r="C108">
        <f ca="1">IF($A108=1,OFFSET(C108,-1,0)+1,OFFSET(C108,-1,0))</f>
        <v>7</v>
      </c>
      <c r="D108">
        <f ca="1">IF($A108=1,0,IF($A108=2,OFFSET(D108,-1,0)+1,OFFSET(D108,-1,0)))</f>
        <v>4</v>
      </c>
      <c r="E108">
        <f ca="1">IF(AND($A108&lt;=2,$A108&lt;&gt;0),0,IF($A108=3,OFFSET(E108,-1,0)+1,OFFSET(E108,-1,0)))</f>
        <v>0</v>
      </c>
      <c r="F108">
        <f ca="1">IF(AND($A108&lt;=3,$A108&lt;&gt;0),0,IF($A108=4,OFFSET(F108,-1,0)+1,OFFSET(F108,-1,0)))</f>
        <v>0</v>
      </c>
      <c r="G108">
        <f ca="1">IF(AND($A108&lt;=4,$A108&lt;&gt;0),0,IF($A108="S",OFFSET(G108,-1,0)+1,OFFSET(G108,-1,0)))</f>
        <v>9</v>
      </c>
      <c r="H108">
        <f ca="1" t="shared" si="30"/>
        <v>0</v>
      </c>
      <c r="I108">
        <f ca="1" t="shared" si="31"/>
        <v>0</v>
      </c>
      <c r="J108" s="393" t="s">
        <v>103</v>
      </c>
      <c r="K108" s="162" t="str">
        <f>IF($A108=0,"-",CONCATENATE(C108&amp;".",IF(AND($A$5&gt;=2,$A108&gt;=2),D108&amp;".",""),IF(AND($A$5&gt;=3,$A108&gt;=3),E108&amp;".",""),IF(AND($A$5&gt;=4,$A108&gt;=4),F108&amp;".",""),IF($A108="S",G108&amp;".","")))</f>
        <v>7.4.9.</v>
      </c>
      <c r="L108" s="394" t="s">
        <v>317</v>
      </c>
      <c r="M108" s="394" t="s">
        <v>355</v>
      </c>
      <c r="N108" s="396" t="s">
        <v>343</v>
      </c>
      <c r="O108" s="397" t="s">
        <v>487</v>
      </c>
      <c r="P108" s="225">
        <f ca="1">OFFSET(PLQ!$E$12,ROW($P108)-ROW(P$12),0)</f>
        <v>1</v>
      </c>
      <c r="Q108" s="229"/>
      <c r="R108" s="232" t="s">
        <v>7</v>
      </c>
      <c r="S108" s="121">
        <f>IF($A108="S",IF($Q$10="Preço Unitário (R$)",PO.CustoUnitario,ROUND(PO.CustoUnitario*(1+$Z108),15-13*$X$6)),0)</f>
        <v>0</v>
      </c>
      <c r="T108" s="98">
        <f>IF($A108="S",VTOTAL1,IF($A108=0,0,ROUND(SomaAgrup,15-13*$X$7)))</f>
        <v>0</v>
      </c>
      <c r="U108" s="13" t="str">
        <f>IF($J108="","",IF($N108="","DESCRIÇÃO",IF(AND($J108="Serviço",$O108=""),"UNIDADE",IF($T108&lt;=0,"SEM VALOR",IF(AND($Y108&lt;&gt;"",$Q108&gt;$Y108),"ACIMA REF.","")))))</f>
        <v>SEM VALOR</v>
      </c>
      <c r="V108" s="4">
        <f ca="1">IF(OR($A108=0,$A108="S",$A108&gt;CFF!$A$9),"",MAX(V$12:OFFSET(V108,-1,0))+1)</f>
      </c>
      <c r="W108" s="9" t="str">
        <f>IF(AND($J108="Serviço",$M108&lt;&gt;""),IF($L108="",$M108,CONCATENATE($L108,"-",$M108)))</f>
        <v>COMPOSIÇÃO-8</v>
      </c>
      <c r="X108" s="4">
        <f ca="1">IF(AND(Fonte&lt;&gt;"",Código&lt;&gt;""),MATCH(Fonte&amp;" "&amp;IF(Fonte="sinapi",SUBSTITUTE(SUBSTITUTE(Código,"/00","/"),"/0","/"),Código),INDIRECT("'[Referência "&amp;DATABASE&amp;".xls]Banco'!$a:$a"),0),"X")</f>
        <v>13</v>
      </c>
      <c r="Y108" s="121">
        <v>987.51</v>
      </c>
      <c r="Z108" s="132">
        <f>ROUND(IF(ISNUMBER(R108),R108,IF(LEFT(R108,3)="BDI",HLOOKUP(R108,DADOS!$T$37:$X$38,2,FALSE),0)),15-11*$X$5)</f>
        <v>0.21</v>
      </c>
      <c r="AA108" s="4"/>
    </row>
    <row r="109" spans="1:27" ht="12.75">
      <c r="A109">
        <f t="shared" si="17"/>
        <v>1</v>
      </c>
      <c r="B109">
        <f t="shared" si="18"/>
        <v>4</v>
      </c>
      <c r="C109">
        <f ca="1" t="shared" si="19"/>
        <v>8</v>
      </c>
      <c r="D109">
        <f ca="1" t="shared" si="20"/>
        <v>0</v>
      </c>
      <c r="E109">
        <f ca="1" t="shared" si="21"/>
        <v>0</v>
      </c>
      <c r="F109">
        <f ca="1" t="shared" si="22"/>
        <v>0</v>
      </c>
      <c r="G109">
        <f ca="1" t="shared" si="23"/>
        <v>0</v>
      </c>
      <c r="H109">
        <f aca="true" ca="1" t="shared" si="35" ref="H109:H140">IF(OR($A109="S",$A109=0),0,MATCH(0,OFFSET($B109,1,$A109,ROW($A$167)-ROW($A109)),0))</f>
        <v>58</v>
      </c>
      <c r="I109">
        <f aca="true" ca="1" t="shared" si="36" ref="I109:I140">IF(OR($A109="S",$A109=0),0,MATCH(OFFSET($B109,0,$A109)+1,OFFSET($B109,1,$A109,ROW($A$167)-ROW($A109)),0))</f>
        <v>4</v>
      </c>
      <c r="J109" s="393" t="s">
        <v>99</v>
      </c>
      <c r="K109" s="162" t="str">
        <f t="shared" si="24"/>
        <v>8.</v>
      </c>
      <c r="L109" s="394"/>
      <c r="M109" s="394"/>
      <c r="N109" s="396" t="s">
        <v>308</v>
      </c>
      <c r="O109" s="397" t="s">
        <v>106</v>
      </c>
      <c r="P109" s="225">
        <f ca="1">OFFSET(PLQ!$E$12,ROW($P109)-ROW(P$12),0)</f>
        <v>0</v>
      </c>
      <c r="Q109" s="229"/>
      <c r="R109" s="232" t="s">
        <v>7</v>
      </c>
      <c r="S109" s="121">
        <f t="shared" si="32"/>
        <v>0</v>
      </c>
      <c r="T109" s="98">
        <f t="shared" si="33"/>
        <v>0</v>
      </c>
      <c r="U109" s="13" t="str">
        <f t="shared" si="27"/>
        <v>SEM VALOR</v>
      </c>
      <c r="V109" s="4">
        <f ca="1">IF(OR($A109=0,$A109="S",$A109&gt;CFF!$A$9),"",MAX(V$12:OFFSET(V109,-1,0))+1)</f>
        <v>21</v>
      </c>
      <c r="W109" s="9" t="b">
        <f t="shared" si="28"/>
        <v>0</v>
      </c>
      <c r="X109" s="4" t="str">
        <f ca="1" t="shared" si="34"/>
        <v>X</v>
      </c>
      <c r="Y109" s="121">
        <v>0</v>
      </c>
      <c r="Z109" s="132">
        <f>ROUND(IF(ISNUMBER(R109),R109,IF(LEFT(R109,3)="BDI",HLOOKUP(R109,DADOS!$T$37:$X$38,2,FALSE),0)),15-11*$X$5)</f>
        <v>0.21</v>
      </c>
      <c r="AA109" s="4"/>
    </row>
    <row r="110" spans="1:27" ht="12.75">
      <c r="A110">
        <f t="shared" si="17"/>
        <v>2</v>
      </c>
      <c r="B110">
        <f t="shared" si="18"/>
        <v>3</v>
      </c>
      <c r="C110">
        <f ca="1" t="shared" si="19"/>
        <v>8</v>
      </c>
      <c r="D110">
        <f ca="1" t="shared" si="20"/>
        <v>1</v>
      </c>
      <c r="E110">
        <f ca="1" t="shared" si="21"/>
        <v>0</v>
      </c>
      <c r="F110">
        <f ca="1" t="shared" si="22"/>
        <v>0</v>
      </c>
      <c r="G110">
        <f ca="1" t="shared" si="23"/>
        <v>0</v>
      </c>
      <c r="H110">
        <f ca="1" t="shared" si="35"/>
        <v>3</v>
      </c>
      <c r="I110">
        <f ca="1" t="shared" si="36"/>
        <v>9</v>
      </c>
      <c r="J110" s="393" t="s">
        <v>100</v>
      </c>
      <c r="K110" s="162" t="str">
        <f t="shared" si="24"/>
        <v>8.1.</v>
      </c>
      <c r="L110" s="394"/>
      <c r="M110" s="394"/>
      <c r="N110" s="396" t="s">
        <v>296</v>
      </c>
      <c r="O110" s="397" t="s">
        <v>106</v>
      </c>
      <c r="P110" s="225">
        <f ca="1">OFFSET(PLQ!$E$12,ROW($P110)-ROW(P$12),0)</f>
        <v>0</v>
      </c>
      <c r="Q110" s="229"/>
      <c r="R110" s="232" t="s">
        <v>7</v>
      </c>
      <c r="S110" s="121">
        <f t="shared" si="32"/>
        <v>0</v>
      </c>
      <c r="T110" s="98">
        <f t="shared" si="33"/>
        <v>0</v>
      </c>
      <c r="U110" s="13" t="str">
        <f t="shared" si="27"/>
        <v>SEM VALOR</v>
      </c>
      <c r="V110" s="4">
        <f ca="1">IF(OR($A110=0,$A110="S",$A110&gt;CFF!$A$9),"",MAX(V$12:OFFSET(V110,-1,0))+1)</f>
        <v>22</v>
      </c>
      <c r="W110" s="9" t="b">
        <f t="shared" si="28"/>
        <v>0</v>
      </c>
      <c r="X110" s="4" t="str">
        <f ca="1" t="shared" si="34"/>
        <v>X</v>
      </c>
      <c r="Y110" s="121">
        <v>0</v>
      </c>
      <c r="Z110" s="132">
        <f>ROUND(IF(ISNUMBER(R110),R110,IF(LEFT(R110,3)="BDI",HLOOKUP(R110,DADOS!$T$37:$X$38,2,FALSE),0)),15-11*$X$5)</f>
        <v>0.21</v>
      </c>
      <c r="AA110" s="4"/>
    </row>
    <row r="111" spans="1:27" ht="38.25">
      <c r="A111" t="str">
        <f>CHOOSE(1+LOG(1+2*(J111="Meta")+4*(J111="Nível 2")+8*(J111="Nível 3")+16*(J111="Nível 4")+32*(J111="Serviço"),2),0,1,2,3,4,"S")</f>
        <v>S</v>
      </c>
      <c r="B111">
        <f>IF(OR(A111="S",A111=0),0,IF(ISERROR(I111),H111,SMALL(H111:I111,1)))</f>
        <v>0</v>
      </c>
      <c r="C111">
        <f ca="1">IF($A111=1,OFFSET(C111,-1,0)+1,OFFSET(C111,-1,0))</f>
        <v>8</v>
      </c>
      <c r="D111">
        <f ca="1">IF($A111=1,0,IF($A111=2,OFFSET(D111,-1,0)+1,OFFSET(D111,-1,0)))</f>
        <v>1</v>
      </c>
      <c r="E111">
        <f ca="1">IF(AND($A111&lt;=2,$A111&lt;&gt;0),0,IF($A111=3,OFFSET(E111,-1,0)+1,OFFSET(E111,-1,0)))</f>
        <v>0</v>
      </c>
      <c r="F111">
        <f ca="1">IF(AND($A111&lt;=3,$A111&lt;&gt;0),0,IF($A111=4,OFFSET(F111,-1,0)+1,OFFSET(F111,-1,0)))</f>
        <v>0</v>
      </c>
      <c r="G111">
        <f ca="1">IF(AND($A111&lt;=4,$A111&lt;&gt;0),0,IF($A111="S",OFFSET(G111,-1,0)+1,OFFSET(G111,-1,0)))</f>
        <v>1</v>
      </c>
      <c r="H111">
        <f ca="1" t="shared" si="35"/>
        <v>0</v>
      </c>
      <c r="I111">
        <f ca="1" t="shared" si="36"/>
        <v>0</v>
      </c>
      <c r="J111" s="393" t="s">
        <v>103</v>
      </c>
      <c r="K111" s="162" t="str">
        <f>IF($A111=0,"-",CONCATENATE(C111&amp;".",IF(AND($A$5&gt;=2,$A111&gt;=2),D111&amp;".",""),IF(AND($A$5&gt;=3,$A111&gt;=3),E111&amp;".",""),IF(AND($A$5&gt;=4,$A111&gt;=4),F111&amp;".",""),IF($A111="S",G111&amp;".","")))</f>
        <v>8.1.1.</v>
      </c>
      <c r="L111" s="394" t="s">
        <v>233</v>
      </c>
      <c r="M111" s="394" t="s">
        <v>323</v>
      </c>
      <c r="N111" s="396" t="s">
        <v>456</v>
      </c>
      <c r="O111" s="397" t="s">
        <v>481</v>
      </c>
      <c r="P111" s="225">
        <f ca="1">OFFSET(PLQ!$E$12,ROW($P111)-ROW(P$12),0)</f>
        <v>3</v>
      </c>
      <c r="Q111" s="229"/>
      <c r="R111" s="232" t="s">
        <v>7</v>
      </c>
      <c r="S111" s="121">
        <f>IF($A111="S",IF($Q$10="Preço Unitário (R$)",PO.CustoUnitario,ROUND(PO.CustoUnitario*(1+$Z111),15-13*$X$6)),0)</f>
        <v>0</v>
      </c>
      <c r="T111" s="98">
        <f>IF($A111="S",VTOTAL1,IF($A111=0,0,ROUND(SomaAgrup,15-13*$X$7)))</f>
        <v>0</v>
      </c>
      <c r="U111" s="13" t="str">
        <f>IF($J111="","",IF($N111="","DESCRIÇÃO",IF(AND($J111="Serviço",$O111=""),"UNIDADE",IF($T111&lt;=0,"SEM VALOR",IF(AND($Y111&lt;&gt;"",$Q111&gt;$Y111),"ACIMA REF.","")))))</f>
        <v>SEM VALOR</v>
      </c>
      <c r="V111" s="4">
        <f ca="1">IF(OR($A111=0,$A111="S",$A111&gt;CFF!$A$9),"",MAX(V$12:OFFSET(V111,-1,0))+1)</f>
      </c>
      <c r="W111" s="9" t="str">
        <f>IF(AND($J111="Serviço",$M111&lt;&gt;""),IF($L111="",$M111,CONCATENATE($L111,"-",$M111)))</f>
        <v>SINAPI-90793</v>
      </c>
      <c r="X111" s="4">
        <f ca="1">IF(AND(Fonte&lt;&gt;"",Código&lt;&gt;""),MATCH(Fonte&amp;" "&amp;IF(Fonte="sinapi",SUBSTITUTE(SUBSTITUTE(Código,"/00","/"),"/0","/"),Código),INDIRECT("'[Referência "&amp;DATABASE&amp;".xls]Banco'!$a:$a"),0),"X")</f>
        <v>6895</v>
      </c>
      <c r="Y111" s="121">
        <v>1737.12</v>
      </c>
      <c r="Z111" s="132">
        <f>ROUND(IF(ISNUMBER(R111),R111,IF(LEFT(R111,3)="BDI",HLOOKUP(R111,DADOS!$T$37:$X$38,2,FALSE),0)),15-11*$X$5)</f>
        <v>0.21</v>
      </c>
      <c r="AA111" s="4"/>
    </row>
    <row r="112" spans="1:27" ht="25.5">
      <c r="A112" t="str">
        <f>CHOOSE(1+LOG(1+2*(J112="Meta")+4*(J112="Nível 2")+8*(J112="Nível 3")+16*(J112="Nível 4")+32*(J112="Serviço"),2),0,1,2,3,4,"S")</f>
        <v>S</v>
      </c>
      <c r="B112">
        <f>IF(OR(A112="S",A112=0),0,IF(ISERROR(I112),H112,SMALL(H112:I112,1)))</f>
        <v>0</v>
      </c>
      <c r="C112">
        <f ca="1">IF($A112=1,OFFSET(C112,-1,0)+1,OFFSET(C112,-1,0))</f>
        <v>8</v>
      </c>
      <c r="D112">
        <f ca="1">IF($A112=1,0,IF($A112=2,OFFSET(D112,-1,0)+1,OFFSET(D112,-1,0)))</f>
        <v>1</v>
      </c>
      <c r="E112">
        <f ca="1">IF(AND($A112&lt;=2,$A112&lt;&gt;0),0,IF($A112=3,OFFSET(E112,-1,0)+1,OFFSET(E112,-1,0)))</f>
        <v>0</v>
      </c>
      <c r="F112">
        <f ca="1">IF(AND($A112&lt;=3,$A112&lt;&gt;0),0,IF($A112=4,OFFSET(F112,-1,0)+1,OFFSET(F112,-1,0)))</f>
        <v>0</v>
      </c>
      <c r="G112">
        <f ca="1">IF(AND($A112&lt;=4,$A112&lt;&gt;0),0,IF($A112="S",OFFSET(G112,-1,0)+1,OFFSET(G112,-1,0)))</f>
        <v>2</v>
      </c>
      <c r="H112">
        <f ca="1" t="shared" si="35"/>
        <v>0</v>
      </c>
      <c r="I112">
        <f ca="1" t="shared" si="36"/>
        <v>0</v>
      </c>
      <c r="J112" s="393" t="s">
        <v>103</v>
      </c>
      <c r="K112" s="162" t="str">
        <f>IF($A112=0,"-",CONCATENATE(C112&amp;".",IF(AND($A$5&gt;=2,$A112&gt;=2),D112&amp;".",""),IF(AND($A$5&gt;=3,$A112&gt;=3),E112&amp;".",""),IF(AND($A$5&gt;=4,$A112&gt;=4),F112&amp;".",""),IF($A112="S",G112&amp;".","")))</f>
        <v>8.1.2.</v>
      </c>
      <c r="L112" s="394" t="s">
        <v>233</v>
      </c>
      <c r="M112" s="394" t="s">
        <v>311</v>
      </c>
      <c r="N112" s="396" t="s">
        <v>457</v>
      </c>
      <c r="O112" s="397" t="s">
        <v>481</v>
      </c>
      <c r="P112" s="225">
        <f ca="1">OFFSET(PLQ!$E$12,ROW($P112)-ROW(P$12),0)</f>
        <v>2</v>
      </c>
      <c r="Q112" s="229"/>
      <c r="R112" s="232" t="s">
        <v>7</v>
      </c>
      <c r="S112" s="121">
        <f>IF($A112="S",IF($Q$10="Preço Unitário (R$)",PO.CustoUnitario,ROUND(PO.CustoUnitario*(1+$Z112),15-13*$X$6)),0)</f>
        <v>0</v>
      </c>
      <c r="T112" s="98">
        <f>IF($A112="S",VTOTAL1,IF($A112=0,0,ROUND(SomaAgrup,15-13*$X$7)))</f>
        <v>0</v>
      </c>
      <c r="U112" s="13" t="str">
        <f>IF($J112="","",IF($N112="","DESCRIÇÃO",IF(AND($J112="Serviço",$O112=""),"UNIDADE",IF($T112&lt;=0,"SEM VALOR",IF(AND($Y112&lt;&gt;"",$Q112&gt;$Y112),"ACIMA REF.","")))))</f>
        <v>SEM VALOR</v>
      </c>
      <c r="V112" s="4">
        <f ca="1">IF(OR($A112=0,$A112="S",$A112&gt;CFF!$A$9),"",MAX(V$12:OFFSET(V112,-1,0))+1)</f>
      </c>
      <c r="W112" s="9" t="str">
        <f>IF(AND($J112="Serviço",$M112&lt;&gt;""),IF($L112="",$M112,CONCATENATE($L112,"-",$M112)))</f>
        <v>SINAPI-90795</v>
      </c>
      <c r="X112" s="4">
        <f ca="1">IF(AND(Fonte&lt;&gt;"",Código&lt;&gt;""),MATCH(Fonte&amp;" "&amp;IF(Fonte="sinapi",SUBSTITUTE(SUBSTITUTE(Código,"/00","/"),"/0","/"),Código),INDIRECT("'[Referência "&amp;DATABASE&amp;".xls]Banco'!$a:$a"),0),"X")</f>
        <v>6897</v>
      </c>
      <c r="Y112" s="121">
        <v>1167.43</v>
      </c>
      <c r="Z112" s="132">
        <f>ROUND(IF(ISNUMBER(R112),R112,IF(LEFT(R112,3)="BDI",HLOOKUP(R112,DADOS!$T$37:$X$38,2,FALSE),0)),15-11*$X$5)</f>
        <v>0.21</v>
      </c>
      <c r="AA112" s="4"/>
    </row>
    <row r="113" spans="1:27" ht="12.75">
      <c r="A113">
        <f t="shared" si="17"/>
        <v>1</v>
      </c>
      <c r="B113">
        <f t="shared" si="18"/>
        <v>13</v>
      </c>
      <c r="C113">
        <f ca="1" t="shared" si="19"/>
        <v>9</v>
      </c>
      <c r="D113">
        <f ca="1" t="shared" si="20"/>
        <v>0</v>
      </c>
      <c r="E113">
        <f ca="1" t="shared" si="21"/>
        <v>0</v>
      </c>
      <c r="F113">
        <f ca="1" t="shared" si="22"/>
        <v>0</v>
      </c>
      <c r="G113">
        <f ca="1" t="shared" si="23"/>
        <v>0</v>
      </c>
      <c r="H113">
        <f ca="1" t="shared" si="35"/>
        <v>54</v>
      </c>
      <c r="I113">
        <f ca="1" t="shared" si="36"/>
        <v>13</v>
      </c>
      <c r="J113" s="393" t="s">
        <v>99</v>
      </c>
      <c r="K113" s="162" t="str">
        <f t="shared" si="24"/>
        <v>9.</v>
      </c>
      <c r="L113" s="394"/>
      <c r="M113" s="394"/>
      <c r="N113" s="396" t="s">
        <v>303</v>
      </c>
      <c r="O113" s="397" t="s">
        <v>106</v>
      </c>
      <c r="P113" s="225">
        <f ca="1">OFFSET(PLQ!$E$12,ROW($P113)-ROW(P$12),0)</f>
        <v>0</v>
      </c>
      <c r="Q113" s="229"/>
      <c r="R113" s="232" t="s">
        <v>7</v>
      </c>
      <c r="S113" s="121">
        <f aca="true" t="shared" si="37" ref="S113:S165">IF($A113="S",IF($Q$10="Preço Unitário (R$)",PO.CustoUnitario,ROUND(PO.CustoUnitario*(1+$Z113),15-13*$X$6)),0)</f>
        <v>0</v>
      </c>
      <c r="T113" s="98">
        <f aca="true" t="shared" si="38" ref="T113:T165">IF($A113="S",VTOTAL1,IF($A113=0,0,ROUND(SomaAgrup,15-13*$X$7)))</f>
        <v>0</v>
      </c>
      <c r="U113" s="13" t="str">
        <f t="shared" si="27"/>
        <v>SEM VALOR</v>
      </c>
      <c r="V113" s="4">
        <f ca="1">IF(OR($A113=0,$A113="S",$A113&gt;CFF!$A$9),"",MAX(V$12:OFFSET(V113,-1,0))+1)</f>
        <v>23</v>
      </c>
      <c r="W113" s="9" t="b">
        <f t="shared" si="28"/>
        <v>0</v>
      </c>
      <c r="X113" s="4" t="str">
        <f aca="true" ca="1" t="shared" si="39" ref="X113:X165">IF(AND(Fonte&lt;&gt;"",Código&lt;&gt;""),MATCH(Fonte&amp;" "&amp;IF(Fonte="sinapi",SUBSTITUTE(SUBSTITUTE(Código,"/00","/"),"/0","/"),Código),INDIRECT("'[Referência "&amp;DATABASE&amp;".xls]Banco'!$a:$a"),0),"X")</f>
        <v>X</v>
      </c>
      <c r="Y113" s="121">
        <v>0</v>
      </c>
      <c r="Z113" s="132">
        <f>ROUND(IF(ISNUMBER(R113),R113,IF(LEFT(R113,3)="BDI",HLOOKUP(R113,DADOS!$T$37:$X$38,2,FALSE),0)),15-11*$X$5)</f>
        <v>0.21</v>
      </c>
      <c r="AA113" s="4"/>
    </row>
    <row r="114" spans="1:27" ht="12.75">
      <c r="A114">
        <f t="shared" si="17"/>
        <v>2</v>
      </c>
      <c r="B114">
        <f t="shared" si="18"/>
        <v>5</v>
      </c>
      <c r="C114">
        <f ca="1" t="shared" si="19"/>
        <v>9</v>
      </c>
      <c r="D114">
        <f ca="1" t="shared" si="20"/>
        <v>1</v>
      </c>
      <c r="E114">
        <f ca="1" t="shared" si="21"/>
        <v>0</v>
      </c>
      <c r="F114">
        <f ca="1" t="shared" si="22"/>
        <v>0</v>
      </c>
      <c r="G114">
        <f ca="1" t="shared" si="23"/>
        <v>0</v>
      </c>
      <c r="H114">
        <f ca="1" t="shared" si="35"/>
        <v>12</v>
      </c>
      <c r="I114">
        <f ca="1" t="shared" si="36"/>
        <v>5</v>
      </c>
      <c r="J114" s="393" t="s">
        <v>100</v>
      </c>
      <c r="K114" s="162" t="str">
        <f t="shared" si="24"/>
        <v>9.1.</v>
      </c>
      <c r="L114" s="394"/>
      <c r="M114" s="394"/>
      <c r="N114" s="396" t="s">
        <v>344</v>
      </c>
      <c r="O114" s="397" t="s">
        <v>106</v>
      </c>
      <c r="P114" s="225">
        <f ca="1">OFFSET(PLQ!$E$12,ROW($P114)-ROW(P$12),0)</f>
        <v>0</v>
      </c>
      <c r="Q114" s="229"/>
      <c r="R114" s="232" t="s">
        <v>7</v>
      </c>
      <c r="S114" s="121">
        <f t="shared" si="37"/>
        <v>0</v>
      </c>
      <c r="T114" s="98">
        <f t="shared" si="38"/>
        <v>0</v>
      </c>
      <c r="U114" s="13" t="str">
        <f t="shared" si="27"/>
        <v>SEM VALOR</v>
      </c>
      <c r="V114" s="4">
        <f ca="1">IF(OR($A114=0,$A114="S",$A114&gt;CFF!$A$9),"",MAX(V$12:OFFSET(V114,-1,0))+1)</f>
        <v>24</v>
      </c>
      <c r="W114" s="9" t="b">
        <f t="shared" si="28"/>
        <v>0</v>
      </c>
      <c r="X114" s="4" t="str">
        <f ca="1" t="shared" si="39"/>
        <v>X</v>
      </c>
      <c r="Y114" s="121">
        <v>0</v>
      </c>
      <c r="Z114" s="132">
        <f>ROUND(IF(ISNUMBER(R114),R114,IF(LEFT(R114,3)="BDI",HLOOKUP(R114,DADOS!$T$37:$X$38,2,FALSE),0)),15-11*$X$5)</f>
        <v>0.21</v>
      </c>
      <c r="AA114" s="4"/>
    </row>
    <row r="115" spans="1:27" ht="12.75">
      <c r="A115" t="str">
        <f t="shared" si="17"/>
        <v>S</v>
      </c>
      <c r="B115">
        <f t="shared" si="18"/>
        <v>0</v>
      </c>
      <c r="C115">
        <f ca="1" t="shared" si="19"/>
        <v>9</v>
      </c>
      <c r="D115">
        <f ca="1" t="shared" si="20"/>
        <v>1</v>
      </c>
      <c r="E115">
        <f ca="1" t="shared" si="21"/>
        <v>0</v>
      </c>
      <c r="F115">
        <f ca="1" t="shared" si="22"/>
        <v>0</v>
      </c>
      <c r="G115">
        <f ca="1" t="shared" si="23"/>
        <v>1</v>
      </c>
      <c r="H115">
        <f ca="1" t="shared" si="35"/>
        <v>0</v>
      </c>
      <c r="I115">
        <f ca="1" t="shared" si="36"/>
        <v>0</v>
      </c>
      <c r="J115" s="393" t="s">
        <v>103</v>
      </c>
      <c r="K115" s="162" t="str">
        <f t="shared" si="24"/>
        <v>9.1.1.</v>
      </c>
      <c r="L115" s="395" t="s">
        <v>317</v>
      </c>
      <c r="M115" s="395" t="s">
        <v>312</v>
      </c>
      <c r="N115" s="396" t="s">
        <v>458</v>
      </c>
      <c r="O115" s="397" t="s">
        <v>489</v>
      </c>
      <c r="P115" s="225">
        <f ca="1">OFFSET(PLQ!$E$12,ROW($P115)-ROW(P$12),0)</f>
        <v>916.38</v>
      </c>
      <c r="Q115" s="229"/>
      <c r="R115" s="232" t="s">
        <v>7</v>
      </c>
      <c r="S115" s="121">
        <f t="shared" si="37"/>
        <v>0</v>
      </c>
      <c r="T115" s="98">
        <f t="shared" si="38"/>
        <v>0</v>
      </c>
      <c r="U115" s="13" t="str">
        <f t="shared" si="27"/>
        <v>SEM VALOR</v>
      </c>
      <c r="V115" s="4">
        <f ca="1">IF(OR($A115=0,$A115="S",$A115&gt;CFF!$A$9),"",MAX(V$12:OFFSET(V115,-1,0))+1)</f>
      </c>
      <c r="W115" s="9" t="str">
        <f t="shared" si="28"/>
        <v>COMPOSIÇÃO-3</v>
      </c>
      <c r="X115" s="4">
        <f ca="1" t="shared" si="39"/>
        <v>8</v>
      </c>
      <c r="Y115" s="121">
        <v>2.57</v>
      </c>
      <c r="Z115" s="132">
        <f>ROUND(IF(ISNUMBER(R115),R115,IF(LEFT(R115,3)="BDI",HLOOKUP(R115,DADOS!$T$37:$X$38,2,FALSE),0)),15-11*$X$5)</f>
        <v>0.21</v>
      </c>
      <c r="AA115" s="4"/>
    </row>
    <row r="116" spans="1:27" ht="12.75">
      <c r="A116" t="str">
        <f t="shared" si="17"/>
        <v>S</v>
      </c>
      <c r="B116">
        <f t="shared" si="18"/>
        <v>0</v>
      </c>
      <c r="C116">
        <f ca="1" t="shared" si="19"/>
        <v>9</v>
      </c>
      <c r="D116">
        <f ca="1" t="shared" si="20"/>
        <v>1</v>
      </c>
      <c r="E116">
        <f ca="1" t="shared" si="21"/>
        <v>0</v>
      </c>
      <c r="F116">
        <f ca="1" t="shared" si="22"/>
        <v>0</v>
      </c>
      <c r="G116">
        <f ca="1" t="shared" si="23"/>
        <v>2</v>
      </c>
      <c r="H116">
        <f ca="1" t="shared" si="35"/>
        <v>0</v>
      </c>
      <c r="I116">
        <f ca="1" t="shared" si="36"/>
        <v>0</v>
      </c>
      <c r="J116" s="393" t="s">
        <v>103</v>
      </c>
      <c r="K116" s="162" t="str">
        <f t="shared" si="24"/>
        <v>9.1.2.</v>
      </c>
      <c r="L116" s="395" t="s">
        <v>317</v>
      </c>
      <c r="M116" s="395" t="s">
        <v>313</v>
      </c>
      <c r="N116" s="396" t="s">
        <v>459</v>
      </c>
      <c r="O116" s="397" t="s">
        <v>490</v>
      </c>
      <c r="P116" s="225">
        <f ca="1">OFFSET(PLQ!$E$12,ROW($P116)-ROW(P$12),0)</f>
        <v>916.38</v>
      </c>
      <c r="Q116" s="229"/>
      <c r="R116" s="232" t="s">
        <v>7</v>
      </c>
      <c r="S116" s="121">
        <f t="shared" si="37"/>
        <v>0</v>
      </c>
      <c r="T116" s="98">
        <f t="shared" si="38"/>
        <v>0</v>
      </c>
      <c r="U116" s="13" t="str">
        <f t="shared" si="27"/>
        <v>SEM VALOR</v>
      </c>
      <c r="V116" s="4">
        <f ca="1">IF(OR($A116=0,$A116="S",$A116&gt;CFF!$A$9),"",MAX(V$12:OFFSET(V116,-1,0))+1)</f>
      </c>
      <c r="W116" s="9" t="str">
        <f t="shared" si="28"/>
        <v>COMPOSIÇÃO-4</v>
      </c>
      <c r="X116" s="4">
        <f ca="1" t="shared" si="39"/>
        <v>9</v>
      </c>
      <c r="Y116" s="121">
        <v>5.13</v>
      </c>
      <c r="Z116" s="132">
        <f>ROUND(IF(ISNUMBER(R116),R116,IF(LEFT(R116,3)="BDI",HLOOKUP(R116,DADOS!$T$37:$X$38,2,FALSE),0)),15-11*$X$5)</f>
        <v>0.21</v>
      </c>
      <c r="AA116" s="4"/>
    </row>
    <row r="117" spans="1:27" ht="25.5">
      <c r="A117" t="str">
        <f>CHOOSE(1+LOG(1+2*(J117="Meta")+4*(J117="Nível 2")+8*(J117="Nível 3")+16*(J117="Nível 4")+32*(J117="Serviço"),2),0,1,2,3,4,"S")</f>
        <v>S</v>
      </c>
      <c r="B117">
        <f>IF(OR(A117="S",A117=0),0,IF(ISERROR(I117),H117,SMALL(H117:I117,1)))</f>
        <v>0</v>
      </c>
      <c r="C117">
        <f ca="1">IF($A117=1,OFFSET(C117,-1,0)+1,OFFSET(C117,-1,0))</f>
        <v>9</v>
      </c>
      <c r="D117">
        <f ca="1">IF($A117=1,0,IF($A117=2,OFFSET(D117,-1,0)+1,OFFSET(D117,-1,0)))</f>
        <v>1</v>
      </c>
      <c r="E117">
        <f ca="1">IF(AND($A117&lt;=2,$A117&lt;&gt;0),0,IF($A117=3,OFFSET(E117,-1,0)+1,OFFSET(E117,-1,0)))</f>
        <v>0</v>
      </c>
      <c r="F117">
        <f ca="1">IF(AND($A117&lt;=3,$A117&lt;&gt;0),0,IF($A117=4,OFFSET(F117,-1,0)+1,OFFSET(F117,-1,0)))</f>
        <v>0</v>
      </c>
      <c r="G117">
        <f ca="1">IF(AND($A117&lt;=4,$A117&lt;&gt;0),0,IF($A117="S",OFFSET(G117,-1,0)+1,OFFSET(G117,-1,0)))</f>
        <v>3</v>
      </c>
      <c r="H117">
        <f ca="1" t="shared" si="35"/>
        <v>0</v>
      </c>
      <c r="I117">
        <f ca="1" t="shared" si="36"/>
        <v>0</v>
      </c>
      <c r="J117" s="393" t="s">
        <v>103</v>
      </c>
      <c r="K117" s="162" t="str">
        <f>IF($A117=0,"-",CONCATENATE(C117&amp;".",IF(AND($A$5&gt;=2,$A117&gt;=2),D117&amp;".",""),IF(AND($A$5&gt;=3,$A117&gt;=3),E117&amp;".",""),IF(AND($A$5&gt;=4,$A117&gt;=4),F117&amp;".",""),IF($A117="S",G117&amp;".","")))</f>
        <v>9.1.3.</v>
      </c>
      <c r="L117" s="394" t="s">
        <v>233</v>
      </c>
      <c r="M117" s="394" t="s">
        <v>304</v>
      </c>
      <c r="N117" s="396" t="s">
        <v>460</v>
      </c>
      <c r="O117" s="397" t="s">
        <v>479</v>
      </c>
      <c r="P117" s="225">
        <f ca="1">OFFSET(PLQ!$E$12,ROW($P117)-ROW(P$12),0)</f>
        <v>916.38</v>
      </c>
      <c r="Q117" s="229"/>
      <c r="R117" s="232" t="s">
        <v>7</v>
      </c>
      <c r="S117" s="121">
        <f>IF($A117="S",IF($Q$10="Preço Unitário (R$)",PO.CustoUnitario,ROUND(PO.CustoUnitario*(1+$Z117),15-13*$X$6)),0)</f>
        <v>0</v>
      </c>
      <c r="T117" s="98">
        <f>IF($A117="S",VTOTAL1,IF($A117=0,0,ROUND(SomaAgrup,15-13*$X$7)))</f>
        <v>0</v>
      </c>
      <c r="U117" s="13" t="str">
        <f>IF($J117="","",IF($N117="","DESCRIÇÃO",IF(AND($J117="Serviço",$O117=""),"UNIDADE",IF($T117&lt;=0,"SEM VALOR",IF(AND($Y117&lt;&gt;"",$Q117&gt;$Y117),"ACIMA REF.","")))))</f>
        <v>SEM VALOR</v>
      </c>
      <c r="V117" s="4">
        <f ca="1">IF(OR($A117=0,$A117="S",$A117&gt;CFF!$A$9),"",MAX(V$12:OFFSET(V117,-1,0))+1)</f>
      </c>
      <c r="W117" s="9" t="str">
        <f>IF(AND($J117="Serviço",$M117&lt;&gt;""),IF($L117="",$M117,CONCATENATE($L117,"-",$M117)))</f>
        <v>SINAPI-88497</v>
      </c>
      <c r="X117" s="4">
        <f ca="1">IF(AND(Fonte&lt;&gt;"",Código&lt;&gt;""),MATCH(Fonte&amp;" "&amp;IF(Fonte="sinapi",SUBSTITUTE(SUBSTITUTE(Código,"/00","/"),"/0","/"),Código),INDIRECT("'[Referência "&amp;DATABASE&amp;".xls]Banco'!$a:$a"),0),"X")</f>
        <v>10979</v>
      </c>
      <c r="Y117" s="121">
        <v>23.05</v>
      </c>
      <c r="Z117" s="132">
        <f>ROUND(IF(ISNUMBER(R117),R117,IF(LEFT(R117,3)="BDI",HLOOKUP(R117,DADOS!$T$37:$X$38,2,FALSE),0)),15-11*$X$5)</f>
        <v>0.21</v>
      </c>
      <c r="AA117" s="4"/>
    </row>
    <row r="118" spans="1:27" ht="12.75">
      <c r="A118" t="str">
        <f t="shared" si="17"/>
        <v>S</v>
      </c>
      <c r="B118">
        <f t="shared" si="18"/>
        <v>0</v>
      </c>
      <c r="C118">
        <f ca="1" t="shared" si="19"/>
        <v>9</v>
      </c>
      <c r="D118">
        <f ca="1" t="shared" si="20"/>
        <v>1</v>
      </c>
      <c r="E118">
        <f ca="1" t="shared" si="21"/>
        <v>0</v>
      </c>
      <c r="F118">
        <f ca="1" t="shared" si="22"/>
        <v>0</v>
      </c>
      <c r="G118">
        <f ca="1" t="shared" si="23"/>
        <v>4</v>
      </c>
      <c r="H118">
        <f ca="1" t="shared" si="35"/>
        <v>0</v>
      </c>
      <c r="I118">
        <f ca="1" t="shared" si="36"/>
        <v>0</v>
      </c>
      <c r="J118" s="393" t="s">
        <v>103</v>
      </c>
      <c r="K118" s="162" t="str">
        <f t="shared" si="24"/>
        <v>9.1.4.</v>
      </c>
      <c r="L118" s="394" t="s">
        <v>233</v>
      </c>
      <c r="M118" s="394" t="s">
        <v>305</v>
      </c>
      <c r="N118" s="396" t="s">
        <v>461</v>
      </c>
      <c r="O118" s="397" t="s">
        <v>479</v>
      </c>
      <c r="P118" s="225">
        <f ca="1">OFFSET(PLQ!$E$12,ROW($P118)-ROW(P$12),0)</f>
        <v>916.38</v>
      </c>
      <c r="Q118" s="229"/>
      <c r="R118" s="232" t="s">
        <v>7</v>
      </c>
      <c r="S118" s="121">
        <f t="shared" si="37"/>
        <v>0</v>
      </c>
      <c r="T118" s="98">
        <f t="shared" si="38"/>
        <v>0</v>
      </c>
      <c r="U118" s="13" t="str">
        <f t="shared" si="27"/>
        <v>SEM VALOR</v>
      </c>
      <c r="V118" s="4">
        <f ca="1">IF(OR($A118=0,$A118="S",$A118&gt;CFF!$A$9),"",MAX(V$12:OFFSET(V118,-1,0))+1)</f>
      </c>
      <c r="W118" s="9" t="str">
        <f t="shared" si="28"/>
        <v>SINAPI-88489</v>
      </c>
      <c r="X118" s="4">
        <f ca="1" t="shared" si="39"/>
        <v>10975</v>
      </c>
      <c r="Y118" s="121">
        <v>15.86</v>
      </c>
      <c r="Z118" s="132">
        <f>ROUND(IF(ISNUMBER(R118),R118,IF(LEFT(R118,3)="BDI",HLOOKUP(R118,DADOS!$T$37:$X$38,2,FALSE),0)),15-11*$X$5)</f>
        <v>0.21</v>
      </c>
      <c r="AA118" s="4"/>
    </row>
    <row r="119" spans="1:27" ht="12.75">
      <c r="A119">
        <f aca="true" t="shared" si="40" ref="A119:A165">CHOOSE(1+LOG(1+2*(J119="Meta")+4*(J119="Nível 2")+8*(J119="Nível 3")+16*(J119="Nível 4")+32*(J119="Serviço"),2),0,1,2,3,4,"S")</f>
        <v>2</v>
      </c>
      <c r="B119">
        <f aca="true" t="shared" si="41" ref="B119:B165">IF(OR(A119="S",A119=0),0,IF(ISERROR(I119),H119,SMALL(H119:I119,1)))</f>
        <v>4</v>
      </c>
      <c r="C119">
        <f aca="true" ca="1" t="shared" si="42" ref="C119:C165">IF($A119=1,OFFSET(C119,-1,0)+1,OFFSET(C119,-1,0))</f>
        <v>9</v>
      </c>
      <c r="D119">
        <f aca="true" ca="1" t="shared" si="43" ref="D119:D165">IF($A119=1,0,IF($A119=2,OFFSET(D119,-1,0)+1,OFFSET(D119,-1,0)))</f>
        <v>2</v>
      </c>
      <c r="E119">
        <f aca="true" ca="1" t="shared" si="44" ref="E119:E165">IF(AND($A119&lt;=2,$A119&lt;&gt;0),0,IF($A119=3,OFFSET(E119,-1,0)+1,OFFSET(E119,-1,0)))</f>
        <v>0</v>
      </c>
      <c r="F119">
        <f aca="true" ca="1" t="shared" si="45" ref="F119:F165">IF(AND($A119&lt;=3,$A119&lt;&gt;0),0,IF($A119=4,OFFSET(F119,-1,0)+1,OFFSET(F119,-1,0)))</f>
        <v>0</v>
      </c>
      <c r="G119">
        <f aca="true" ca="1" t="shared" si="46" ref="G119:G165">IF(AND($A119&lt;=4,$A119&lt;&gt;0),0,IF($A119="S",OFFSET(G119,-1,0)+1,OFFSET(G119,-1,0)))</f>
        <v>0</v>
      </c>
      <c r="H119">
        <f ca="1" t="shared" si="35"/>
        <v>7</v>
      </c>
      <c r="I119">
        <f ca="1" t="shared" si="36"/>
        <v>4</v>
      </c>
      <c r="J119" s="393" t="s">
        <v>100</v>
      </c>
      <c r="K119" s="162" t="str">
        <f aca="true" t="shared" si="47" ref="K119:K165">IF($A119=0,"-",CONCATENATE(C119&amp;".",IF(AND($A$5&gt;=2,$A119&gt;=2),D119&amp;".",""),IF(AND($A$5&gt;=3,$A119&gt;=3),E119&amp;".",""),IF(AND($A$5&gt;=4,$A119&gt;=4),F119&amp;".",""),IF($A119="S",G119&amp;".","")))</f>
        <v>9.2.</v>
      </c>
      <c r="L119" s="394"/>
      <c r="M119" s="394"/>
      <c r="N119" s="396" t="s">
        <v>345</v>
      </c>
      <c r="O119" s="397" t="s">
        <v>106</v>
      </c>
      <c r="P119" s="225">
        <f ca="1">OFFSET(PLQ!$E$12,ROW($P119)-ROW(P$12),0)</f>
        <v>0</v>
      </c>
      <c r="Q119" s="229"/>
      <c r="R119" s="232" t="s">
        <v>7</v>
      </c>
      <c r="S119" s="121">
        <f t="shared" si="37"/>
        <v>0</v>
      </c>
      <c r="T119" s="98">
        <f t="shared" si="38"/>
        <v>0</v>
      </c>
      <c r="U119" s="13" t="str">
        <f aca="true" t="shared" si="48" ref="U119:U165">IF($J119="","",IF($N119="","DESCRIÇÃO",IF(AND($J119="Serviço",$O119=""),"UNIDADE",IF($T119&lt;=0,"SEM VALOR",IF(AND($Y119&lt;&gt;"",$Q119&gt;$Y119),"ACIMA REF.","")))))</f>
        <v>SEM VALOR</v>
      </c>
      <c r="V119" s="4">
        <f ca="1">IF(OR($A119=0,$A119="S",$A119&gt;CFF!$A$9),"",MAX(V$12:OFFSET(V119,-1,0))+1)</f>
        <v>25</v>
      </c>
      <c r="W119" s="9" t="b">
        <f aca="true" t="shared" si="49" ref="W119:W165">IF(AND($J119="Serviço",$M119&lt;&gt;""),IF($L119="",$M119,CONCATENATE($L119,"-",$M119)))</f>
        <v>0</v>
      </c>
      <c r="X119" s="4" t="str">
        <f ca="1" t="shared" si="39"/>
        <v>X</v>
      </c>
      <c r="Y119" s="121">
        <v>0</v>
      </c>
      <c r="Z119" s="132">
        <f>ROUND(IF(ISNUMBER(R119),R119,IF(LEFT(R119,3)="BDI",HLOOKUP(R119,DADOS!$T$37:$X$38,2,FALSE),0)),15-11*$X$5)</f>
        <v>0.21</v>
      </c>
      <c r="AA119" s="4"/>
    </row>
    <row r="120" spans="1:27" ht="12.75">
      <c r="A120" t="str">
        <f t="shared" si="40"/>
        <v>S</v>
      </c>
      <c r="B120">
        <f t="shared" si="41"/>
        <v>0</v>
      </c>
      <c r="C120">
        <f ca="1" t="shared" si="42"/>
        <v>9</v>
      </c>
      <c r="D120">
        <f ca="1" t="shared" si="43"/>
        <v>2</v>
      </c>
      <c r="E120">
        <f ca="1" t="shared" si="44"/>
        <v>0</v>
      </c>
      <c r="F120">
        <f ca="1" t="shared" si="45"/>
        <v>0</v>
      </c>
      <c r="G120">
        <f ca="1" t="shared" si="46"/>
        <v>1</v>
      </c>
      <c r="H120">
        <f ca="1" t="shared" si="35"/>
        <v>0</v>
      </c>
      <c r="I120">
        <f ca="1" t="shared" si="36"/>
        <v>0</v>
      </c>
      <c r="J120" s="393" t="s">
        <v>103</v>
      </c>
      <c r="K120" s="162" t="str">
        <f t="shared" si="47"/>
        <v>9.2.1.</v>
      </c>
      <c r="L120" s="394" t="s">
        <v>346</v>
      </c>
      <c r="M120" s="394" t="s">
        <v>347</v>
      </c>
      <c r="N120" s="396" t="s">
        <v>462</v>
      </c>
      <c r="O120" s="397" t="s">
        <v>479</v>
      </c>
      <c r="P120" s="225">
        <f ca="1">OFFSET(PLQ!$E$12,ROW($P120)-ROW(P$12),0)</f>
        <v>327.55</v>
      </c>
      <c r="Q120" s="229"/>
      <c r="R120" s="232" t="s">
        <v>7</v>
      </c>
      <c r="S120" s="121">
        <f t="shared" si="37"/>
        <v>0</v>
      </c>
      <c r="T120" s="98">
        <f t="shared" si="38"/>
        <v>0</v>
      </c>
      <c r="U120" s="13" t="str">
        <f t="shared" si="48"/>
        <v>SEM VALOR</v>
      </c>
      <c r="V120" s="4">
        <f ca="1">IF(OR($A120=0,$A120="S",$A120&gt;CFF!$A$9),"",MAX(V$12:OFFSET(V120,-1,0))+1)</f>
      </c>
      <c r="W120" s="9" t="str">
        <f t="shared" si="49"/>
        <v>sinapi-88496</v>
      </c>
      <c r="X120" s="4">
        <f ca="1" t="shared" si="39"/>
        <v>10978</v>
      </c>
      <c r="Y120" s="121">
        <v>39.29</v>
      </c>
      <c r="Z120" s="132">
        <f>ROUND(IF(ISNUMBER(R120),R120,IF(LEFT(R120,3)="BDI",HLOOKUP(R120,DADOS!$T$37:$X$38,2,FALSE),0)),15-11*$X$5)</f>
        <v>0.21</v>
      </c>
      <c r="AA120" s="4"/>
    </row>
    <row r="121" spans="1:27" ht="12.75">
      <c r="A121" t="str">
        <f t="shared" si="40"/>
        <v>S</v>
      </c>
      <c r="B121">
        <f t="shared" si="41"/>
        <v>0</v>
      </c>
      <c r="C121">
        <f ca="1" t="shared" si="42"/>
        <v>9</v>
      </c>
      <c r="D121">
        <f ca="1" t="shared" si="43"/>
        <v>2</v>
      </c>
      <c r="E121">
        <f ca="1" t="shared" si="44"/>
        <v>0</v>
      </c>
      <c r="F121">
        <f ca="1" t="shared" si="45"/>
        <v>0</v>
      </c>
      <c r="G121">
        <f ca="1" t="shared" si="46"/>
        <v>2</v>
      </c>
      <c r="H121">
        <f ca="1" t="shared" si="35"/>
        <v>0</v>
      </c>
      <c r="I121">
        <f ca="1" t="shared" si="36"/>
        <v>0</v>
      </c>
      <c r="J121" s="393" t="s">
        <v>103</v>
      </c>
      <c r="K121" s="162" t="str">
        <f t="shared" si="47"/>
        <v>9.2.2.</v>
      </c>
      <c r="L121" s="394" t="s">
        <v>346</v>
      </c>
      <c r="M121" s="394" t="s">
        <v>348</v>
      </c>
      <c r="N121" s="396" t="s">
        <v>463</v>
      </c>
      <c r="O121" s="397" t="s">
        <v>479</v>
      </c>
      <c r="P121" s="225">
        <f ca="1">OFFSET(PLQ!$E$12,ROW($P121)-ROW(P$12),0)</f>
        <v>327.55</v>
      </c>
      <c r="Q121" s="229"/>
      <c r="R121" s="232" t="s">
        <v>7</v>
      </c>
      <c r="S121" s="121">
        <f t="shared" si="37"/>
        <v>0</v>
      </c>
      <c r="T121" s="98">
        <f t="shared" si="38"/>
        <v>0</v>
      </c>
      <c r="U121" s="13" t="str">
        <f t="shared" si="48"/>
        <v>SEM VALOR</v>
      </c>
      <c r="V121" s="4">
        <f ca="1">IF(OR($A121=0,$A121="S",$A121&gt;CFF!$A$9),"",MAX(V$12:OFFSET(V121,-1,0))+1)</f>
      </c>
      <c r="W121" s="9" t="str">
        <f t="shared" si="49"/>
        <v>sinapi-88484</v>
      </c>
      <c r="X121" s="4">
        <f ca="1" t="shared" si="39"/>
        <v>10972</v>
      </c>
      <c r="Y121" s="121">
        <v>5.65</v>
      </c>
      <c r="Z121" s="132">
        <f>ROUND(IF(ISNUMBER(R121),R121,IF(LEFT(R121,3)="BDI",HLOOKUP(R121,DADOS!$T$37:$X$38,2,FALSE),0)),15-11*$X$5)</f>
        <v>0.21</v>
      </c>
      <c r="AA121" s="4"/>
    </row>
    <row r="122" spans="1:27" ht="12.75">
      <c r="A122" t="str">
        <f t="shared" si="40"/>
        <v>S</v>
      </c>
      <c r="B122">
        <f t="shared" si="41"/>
        <v>0</v>
      </c>
      <c r="C122">
        <f ca="1" t="shared" si="42"/>
        <v>9</v>
      </c>
      <c r="D122">
        <f ca="1" t="shared" si="43"/>
        <v>2</v>
      </c>
      <c r="E122">
        <f ca="1" t="shared" si="44"/>
        <v>0</v>
      </c>
      <c r="F122">
        <f ca="1" t="shared" si="45"/>
        <v>0</v>
      </c>
      <c r="G122">
        <f ca="1" t="shared" si="46"/>
        <v>3</v>
      </c>
      <c r="H122">
        <f ca="1" t="shared" si="35"/>
        <v>0</v>
      </c>
      <c r="I122">
        <f ca="1" t="shared" si="36"/>
        <v>0</v>
      </c>
      <c r="J122" s="393" t="s">
        <v>103</v>
      </c>
      <c r="K122" s="162" t="str">
        <f t="shared" si="47"/>
        <v>9.2.3.</v>
      </c>
      <c r="L122" s="394" t="s">
        <v>346</v>
      </c>
      <c r="M122" s="394" t="s">
        <v>327</v>
      </c>
      <c r="N122" s="396" t="s">
        <v>464</v>
      </c>
      <c r="O122" s="397" t="s">
        <v>479</v>
      </c>
      <c r="P122" s="225">
        <f ca="1">OFFSET(PLQ!$E$12,ROW($P122)-ROW(P$12),0)</f>
        <v>327.55</v>
      </c>
      <c r="Q122" s="229"/>
      <c r="R122" s="232" t="s">
        <v>7</v>
      </c>
      <c r="S122" s="121">
        <f t="shared" si="37"/>
        <v>0</v>
      </c>
      <c r="T122" s="98">
        <f t="shared" si="38"/>
        <v>0</v>
      </c>
      <c r="U122" s="13" t="str">
        <f t="shared" si="48"/>
        <v>SEM VALOR</v>
      </c>
      <c r="V122" s="4">
        <f ca="1">IF(OR($A122=0,$A122="S",$A122&gt;CFF!$A$9),"",MAX(V$12:OFFSET(V122,-1,0))+1)</f>
      </c>
      <c r="W122" s="9" t="str">
        <f t="shared" si="49"/>
        <v>sinapi-88488</v>
      </c>
      <c r="X122" s="4">
        <f ca="1" t="shared" si="39"/>
        <v>10974</v>
      </c>
      <c r="Y122" s="121">
        <v>18.6</v>
      </c>
      <c r="Z122" s="132">
        <f>ROUND(IF(ISNUMBER(R122),R122,IF(LEFT(R122,3)="BDI",HLOOKUP(R122,DADOS!$T$37:$X$38,2,FALSE),0)),15-11*$X$5)</f>
        <v>0.21</v>
      </c>
      <c r="AA122" s="4"/>
    </row>
    <row r="123" spans="1:27" ht="12.75">
      <c r="A123">
        <f t="shared" si="40"/>
        <v>2</v>
      </c>
      <c r="B123">
        <f t="shared" si="41"/>
        <v>3</v>
      </c>
      <c r="C123">
        <f ca="1" t="shared" si="42"/>
        <v>9</v>
      </c>
      <c r="D123">
        <f ca="1" t="shared" si="43"/>
        <v>3</v>
      </c>
      <c r="E123">
        <f ca="1" t="shared" si="44"/>
        <v>0</v>
      </c>
      <c r="F123">
        <f ca="1" t="shared" si="45"/>
        <v>0</v>
      </c>
      <c r="G123">
        <f ca="1" t="shared" si="46"/>
        <v>0</v>
      </c>
      <c r="H123">
        <f ca="1" t="shared" si="35"/>
        <v>3</v>
      </c>
      <c r="I123">
        <f ca="1" t="shared" si="36"/>
        <v>17</v>
      </c>
      <c r="J123" s="393" t="s">
        <v>100</v>
      </c>
      <c r="K123" s="162" t="str">
        <f t="shared" si="47"/>
        <v>9.3.</v>
      </c>
      <c r="L123" s="394"/>
      <c r="M123" s="394"/>
      <c r="N123" s="396" t="s">
        <v>356</v>
      </c>
      <c r="O123" s="397" t="s">
        <v>106</v>
      </c>
      <c r="P123" s="225">
        <f ca="1">OFFSET(PLQ!$E$12,ROW($P123)-ROW(P$12),0)</f>
        <v>0</v>
      </c>
      <c r="Q123" s="229"/>
      <c r="R123" s="232" t="s">
        <v>7</v>
      </c>
      <c r="S123" s="121">
        <f t="shared" si="37"/>
        <v>0</v>
      </c>
      <c r="T123" s="98">
        <f t="shared" si="38"/>
        <v>0</v>
      </c>
      <c r="U123" s="13" t="str">
        <f t="shared" si="48"/>
        <v>SEM VALOR</v>
      </c>
      <c r="V123" s="4">
        <f ca="1">IF(OR($A123=0,$A123="S",$A123&gt;CFF!$A$9),"",MAX(V$12:OFFSET(V123,-1,0))+1)</f>
        <v>26</v>
      </c>
      <c r="W123" s="9" t="b">
        <f t="shared" si="49"/>
        <v>0</v>
      </c>
      <c r="X123" s="4" t="str">
        <f ca="1" t="shared" si="39"/>
        <v>X</v>
      </c>
      <c r="Y123" s="121">
        <v>0</v>
      </c>
      <c r="Z123" s="132">
        <f>ROUND(IF(ISNUMBER(R123),R123,IF(LEFT(R123,3)="BDI",HLOOKUP(R123,DADOS!$T$37:$X$38,2,FALSE),0)),15-11*$X$5)</f>
        <v>0.21</v>
      </c>
      <c r="AA123" s="4"/>
    </row>
    <row r="124" spans="1:27" ht="12.75">
      <c r="A124" t="str">
        <f>CHOOSE(1+LOG(1+2*(J124="Meta")+4*(J124="Nível 2")+8*(J124="Nível 3")+16*(J124="Nível 4")+32*(J124="Serviço"),2),0,1,2,3,4,"S")</f>
        <v>S</v>
      </c>
      <c r="B124">
        <f>IF(OR(A124="S",A124=0),0,IF(ISERROR(I124),H124,SMALL(H124:I124,1)))</f>
        <v>0</v>
      </c>
      <c r="C124">
        <f ca="1">IF($A124=1,OFFSET(C124,-1,0)+1,OFFSET(C124,-1,0))</f>
        <v>9</v>
      </c>
      <c r="D124">
        <f ca="1">IF($A124=1,0,IF($A124=2,OFFSET(D124,-1,0)+1,OFFSET(D124,-1,0)))</f>
        <v>3</v>
      </c>
      <c r="E124">
        <f ca="1">IF(AND($A124&lt;=2,$A124&lt;&gt;0),0,IF($A124=3,OFFSET(E124,-1,0)+1,OFFSET(E124,-1,0)))</f>
        <v>0</v>
      </c>
      <c r="F124">
        <f ca="1">IF(AND($A124&lt;=3,$A124&lt;&gt;0),0,IF($A124=4,OFFSET(F124,-1,0)+1,OFFSET(F124,-1,0)))</f>
        <v>0</v>
      </c>
      <c r="G124">
        <f ca="1">IF(AND($A124&lt;=4,$A124&lt;&gt;0),0,IF($A124="S",OFFSET(G124,-1,0)+1,OFFSET(G124,-1,0)))</f>
        <v>1</v>
      </c>
      <c r="H124">
        <f ca="1" t="shared" si="35"/>
        <v>0</v>
      </c>
      <c r="I124">
        <f ca="1" t="shared" si="36"/>
        <v>0</v>
      </c>
      <c r="J124" s="393" t="s">
        <v>103</v>
      </c>
      <c r="K124" s="162" t="str">
        <f>IF($A124=0,"-",CONCATENATE(C124&amp;".",IF(AND($A$5&gt;=2,$A124&gt;=2),D124&amp;".",""),IF(AND($A$5&gt;=3,$A124&gt;=3),E124&amp;".",""),IF(AND($A$5&gt;=4,$A124&gt;=4),F124&amp;".",""),IF($A124="S",G124&amp;".","")))</f>
        <v>9.3.1.</v>
      </c>
      <c r="L124" s="394" t="s">
        <v>233</v>
      </c>
      <c r="M124" s="394" t="s">
        <v>358</v>
      </c>
      <c r="N124" s="396" t="s">
        <v>465</v>
      </c>
      <c r="O124" s="397" t="s">
        <v>479</v>
      </c>
      <c r="P124" s="225">
        <f ca="1">OFFSET(PLQ!$E$12,ROW($P124)-ROW(P$12),0)</f>
        <v>76.26</v>
      </c>
      <c r="Q124" s="229"/>
      <c r="R124" s="232" t="s">
        <v>7</v>
      </c>
      <c r="S124" s="121">
        <f>IF($A124="S",IF($Q$10="Preço Unitário (R$)",PO.CustoUnitario,ROUND(PO.CustoUnitario*(1+$Z124),15-13*$X$6)),0)</f>
        <v>0</v>
      </c>
      <c r="T124" s="98">
        <f>IF($A124="S",VTOTAL1,IF($A124=0,0,ROUND(SomaAgrup,15-13*$X$7)))</f>
        <v>0</v>
      </c>
      <c r="U124" s="13" t="str">
        <f>IF($J124="","",IF($N124="","DESCRIÇÃO",IF(AND($J124="Serviço",$O124=""),"UNIDADE",IF($T124&lt;=0,"SEM VALOR",IF(AND($Y124&lt;&gt;"",$Q124&gt;$Y124),"ACIMA REF.","")))))</f>
        <v>SEM VALOR</v>
      </c>
      <c r="V124" s="4">
        <f ca="1">IF(OR($A124=0,$A124="S",$A124&gt;CFF!$A$9),"",MAX(V$12:OFFSET(V124,-1,0))+1)</f>
      </c>
      <c r="W124" s="9" t="str">
        <f>IF(AND($J124="Serviço",$M124&lt;&gt;""),IF($L124="",$M124,CONCATENATE($L124,"-",$M124)))</f>
        <v>SINAPI-102193</v>
      </c>
      <c r="X124" s="4">
        <f ca="1">IF(AND(Fonte&lt;&gt;"",Código&lt;&gt;""),MATCH(Fonte&amp;" "&amp;IF(Fonte="sinapi",SUBSTITUTE(SUBSTITUTE(Código,"/00","/"),"/0","/"),Código),INDIRECT("'[Referência "&amp;DATABASE&amp;".xls]Banco'!$a:$a"),0),"X")</f>
        <v>11001</v>
      </c>
      <c r="Y124" s="121">
        <v>2.57</v>
      </c>
      <c r="Z124" s="132">
        <f>ROUND(IF(ISNUMBER(R124),R124,IF(LEFT(R124,3)="BDI",HLOOKUP(R124,DADOS!$T$37:$X$38,2,FALSE),0)),15-11*$X$5)</f>
        <v>0.21</v>
      </c>
      <c r="AA124" s="4"/>
    </row>
    <row r="125" spans="1:27" ht="12.75">
      <c r="A125" t="str">
        <f t="shared" si="40"/>
        <v>S</v>
      </c>
      <c r="B125">
        <f t="shared" si="41"/>
        <v>0</v>
      </c>
      <c r="C125">
        <f ca="1" t="shared" si="42"/>
        <v>9</v>
      </c>
      <c r="D125">
        <f ca="1" t="shared" si="43"/>
        <v>3</v>
      </c>
      <c r="E125">
        <f ca="1" t="shared" si="44"/>
        <v>0</v>
      </c>
      <c r="F125">
        <f ca="1" t="shared" si="45"/>
        <v>0</v>
      </c>
      <c r="G125">
        <f ca="1" t="shared" si="46"/>
        <v>2</v>
      </c>
      <c r="H125">
        <f ca="1" t="shared" si="35"/>
        <v>0</v>
      </c>
      <c r="I125">
        <f ca="1" t="shared" si="36"/>
        <v>0</v>
      </c>
      <c r="J125" s="393" t="s">
        <v>103</v>
      </c>
      <c r="K125" s="162" t="str">
        <f t="shared" si="47"/>
        <v>9.3.2.</v>
      </c>
      <c r="L125" s="394" t="s">
        <v>233</v>
      </c>
      <c r="M125" s="394" t="s">
        <v>357</v>
      </c>
      <c r="N125" s="396" t="s">
        <v>466</v>
      </c>
      <c r="O125" s="397" t="s">
        <v>479</v>
      </c>
      <c r="P125" s="225">
        <f ca="1">OFFSET(PLQ!$E$12,ROW($P125)-ROW(P$12),0)</f>
        <v>76.26</v>
      </c>
      <c r="Q125" s="229"/>
      <c r="R125" s="232" t="s">
        <v>7</v>
      </c>
      <c r="S125" s="121">
        <f t="shared" si="37"/>
        <v>0</v>
      </c>
      <c r="T125" s="98">
        <f t="shared" si="38"/>
        <v>0</v>
      </c>
      <c r="U125" s="13" t="str">
        <f t="shared" si="48"/>
        <v>SEM VALOR</v>
      </c>
      <c r="V125" s="4">
        <f ca="1">IF(OR($A125=0,$A125="S",$A125&gt;CFF!$A$9),"",MAX(V$12:OFFSET(V125,-1,0))+1)</f>
      </c>
      <c r="W125" s="9" t="str">
        <f t="shared" si="49"/>
        <v>SINAPI-102217</v>
      </c>
      <c r="X125" s="4">
        <f ca="1" t="shared" si="39"/>
        <v>11017</v>
      </c>
      <c r="Y125" s="121">
        <v>21.02</v>
      </c>
      <c r="Z125" s="132">
        <f>ROUND(IF(ISNUMBER(R125),R125,IF(LEFT(R125,3)="BDI",HLOOKUP(R125,DADOS!$T$37:$X$38,2,FALSE),0)),15-11*$X$5)</f>
        <v>0.21</v>
      </c>
      <c r="AA125" s="4"/>
    </row>
    <row r="126" spans="1:27" ht="12.75">
      <c r="A126">
        <f t="shared" si="40"/>
        <v>1</v>
      </c>
      <c r="B126">
        <f t="shared" si="41"/>
        <v>37</v>
      </c>
      <c r="C126">
        <f ca="1" t="shared" si="42"/>
        <v>10</v>
      </c>
      <c r="D126">
        <f ca="1" t="shared" si="43"/>
        <v>0</v>
      </c>
      <c r="E126">
        <f ca="1" t="shared" si="44"/>
        <v>0</v>
      </c>
      <c r="F126">
        <f ca="1" t="shared" si="45"/>
        <v>0</v>
      </c>
      <c r="G126">
        <f ca="1" t="shared" si="46"/>
        <v>0</v>
      </c>
      <c r="H126">
        <f ca="1" t="shared" si="35"/>
        <v>41</v>
      </c>
      <c r="I126">
        <f ca="1" t="shared" si="36"/>
        <v>37</v>
      </c>
      <c r="J126" s="393" t="s">
        <v>99</v>
      </c>
      <c r="K126" s="162" t="str">
        <f t="shared" si="47"/>
        <v>10.</v>
      </c>
      <c r="L126" s="394"/>
      <c r="M126" s="394"/>
      <c r="N126" s="396" t="s">
        <v>363</v>
      </c>
      <c r="O126" s="397" t="s">
        <v>106</v>
      </c>
      <c r="P126" s="225">
        <f ca="1">OFFSET(PLQ!$E$12,ROW($P126)-ROW(P$12),0)</f>
        <v>0</v>
      </c>
      <c r="Q126" s="229"/>
      <c r="R126" s="232" t="s">
        <v>7</v>
      </c>
      <c r="S126" s="121">
        <f t="shared" si="37"/>
        <v>0</v>
      </c>
      <c r="T126" s="98">
        <f t="shared" si="38"/>
        <v>0</v>
      </c>
      <c r="U126" s="13" t="str">
        <f t="shared" si="48"/>
        <v>SEM VALOR</v>
      </c>
      <c r="V126" s="4">
        <f ca="1">IF(OR($A126=0,$A126="S",$A126&gt;CFF!$A$9),"",MAX(V$12:OFFSET(V126,-1,0))+1)</f>
        <v>27</v>
      </c>
      <c r="W126" s="9" t="b">
        <f t="shared" si="49"/>
        <v>0</v>
      </c>
      <c r="X126" s="4" t="str">
        <f ca="1" t="shared" si="39"/>
        <v>X</v>
      </c>
      <c r="Y126" s="121">
        <v>0</v>
      </c>
      <c r="Z126" s="132">
        <f>ROUND(IF(ISNUMBER(R126),R126,IF(LEFT(R126,3)="BDI",HLOOKUP(R126,DADOS!$T$37:$X$38,2,FALSE),0)),15-11*$X$5)</f>
        <v>0.21</v>
      </c>
      <c r="AA126" s="4"/>
    </row>
    <row r="127" spans="1:27" ht="12.75">
      <c r="A127">
        <f t="shared" si="40"/>
        <v>2</v>
      </c>
      <c r="B127">
        <f t="shared" si="41"/>
        <v>3</v>
      </c>
      <c r="C127">
        <f ca="1" t="shared" si="42"/>
        <v>10</v>
      </c>
      <c r="D127">
        <f ca="1" t="shared" si="43"/>
        <v>1</v>
      </c>
      <c r="E127">
        <f ca="1" t="shared" si="44"/>
        <v>0</v>
      </c>
      <c r="F127">
        <f ca="1" t="shared" si="45"/>
        <v>0</v>
      </c>
      <c r="G127">
        <f ca="1" t="shared" si="46"/>
        <v>0</v>
      </c>
      <c r="H127">
        <f ca="1" t="shared" si="35"/>
        <v>36</v>
      </c>
      <c r="I127">
        <f ca="1" t="shared" si="36"/>
        <v>3</v>
      </c>
      <c r="J127" s="393" t="s">
        <v>100</v>
      </c>
      <c r="K127" s="162" t="str">
        <f t="shared" si="47"/>
        <v>10.1.</v>
      </c>
      <c r="L127" s="394"/>
      <c r="M127" s="394"/>
      <c r="N127" s="396" t="s">
        <v>364</v>
      </c>
      <c r="O127" s="397" t="s">
        <v>106</v>
      </c>
      <c r="P127" s="225">
        <f ca="1">OFFSET(PLQ!$E$12,ROW($P127)-ROW(P$12),0)</f>
        <v>0</v>
      </c>
      <c r="Q127" s="229"/>
      <c r="R127" s="232" t="s">
        <v>7</v>
      </c>
      <c r="S127" s="121">
        <f t="shared" si="37"/>
        <v>0</v>
      </c>
      <c r="T127" s="98">
        <f t="shared" si="38"/>
        <v>0</v>
      </c>
      <c r="U127" s="13" t="str">
        <f t="shared" si="48"/>
        <v>SEM VALOR</v>
      </c>
      <c r="V127" s="4">
        <f ca="1">IF(OR($A127=0,$A127="S",$A127&gt;CFF!$A$9),"",MAX(V$12:OFFSET(V127,-1,0))+1)</f>
        <v>28</v>
      </c>
      <c r="W127" s="9" t="b">
        <f t="shared" si="49"/>
        <v>0</v>
      </c>
      <c r="X127" s="4" t="str">
        <f ca="1" t="shared" si="39"/>
        <v>X</v>
      </c>
      <c r="Y127" s="121">
        <v>0</v>
      </c>
      <c r="Z127" s="132">
        <f>ROUND(IF(ISNUMBER(R127),R127,IF(LEFT(R127,3)="BDI",HLOOKUP(R127,DADOS!$T$37:$X$38,2,FALSE),0)),15-11*$X$5)</f>
        <v>0.21</v>
      </c>
      <c r="AA127" s="4"/>
    </row>
    <row r="128" spans="1:27" ht="12.75">
      <c r="A128" t="str">
        <f t="shared" si="40"/>
        <v>S</v>
      </c>
      <c r="B128">
        <f t="shared" si="41"/>
        <v>0</v>
      </c>
      <c r="C128">
        <f ca="1" t="shared" si="42"/>
        <v>10</v>
      </c>
      <c r="D128">
        <f ca="1" t="shared" si="43"/>
        <v>1</v>
      </c>
      <c r="E128">
        <f ca="1" t="shared" si="44"/>
        <v>0</v>
      </c>
      <c r="F128">
        <f ca="1" t="shared" si="45"/>
        <v>0</v>
      </c>
      <c r="G128">
        <f ca="1" t="shared" si="46"/>
        <v>1</v>
      </c>
      <c r="H128">
        <f ca="1" t="shared" si="35"/>
        <v>0</v>
      </c>
      <c r="I128">
        <f ca="1" t="shared" si="36"/>
        <v>0</v>
      </c>
      <c r="J128" s="393" t="s">
        <v>103</v>
      </c>
      <c r="K128" s="162" t="str">
        <f t="shared" si="47"/>
        <v>10.1.1.</v>
      </c>
      <c r="L128" s="394" t="s">
        <v>233</v>
      </c>
      <c r="M128" s="394" t="s">
        <v>243</v>
      </c>
      <c r="N128" s="396" t="s">
        <v>386</v>
      </c>
      <c r="O128" s="397" t="s">
        <v>478</v>
      </c>
      <c r="P128" s="225">
        <f ca="1">OFFSET(PLQ!$E$12,ROW($P128)-ROW(P$12),0)</f>
        <v>1.16</v>
      </c>
      <c r="Q128" s="229"/>
      <c r="R128" s="232" t="s">
        <v>7</v>
      </c>
      <c r="S128" s="121">
        <f t="shared" si="37"/>
        <v>0</v>
      </c>
      <c r="T128" s="98">
        <f t="shared" si="38"/>
        <v>0</v>
      </c>
      <c r="U128" s="13" t="str">
        <f t="shared" si="48"/>
        <v>SEM VALOR</v>
      </c>
      <c r="V128" s="4">
        <f ca="1">IF(OR($A128=0,$A128="S",$A128&gt;CFF!$A$9),"",MAX(V$12:OFFSET(V128,-1,0))+1)</f>
      </c>
      <c r="W128" s="9" t="str">
        <f t="shared" si="49"/>
        <v>SINAPI-93358</v>
      </c>
      <c r="X128" s="4">
        <f ca="1" t="shared" si="39"/>
        <v>10617</v>
      </c>
      <c r="Y128" s="121">
        <v>105.21</v>
      </c>
      <c r="Z128" s="132">
        <f>ROUND(IF(ISNUMBER(R128),R128,IF(LEFT(R128,3)="BDI",HLOOKUP(R128,DADOS!$T$37:$X$38,2,FALSE),0)),15-11*$X$5)</f>
        <v>0.21</v>
      </c>
      <c r="AA128" s="4"/>
    </row>
    <row r="129" spans="1:27" ht="25.5">
      <c r="A129" t="str">
        <f t="shared" si="40"/>
        <v>S</v>
      </c>
      <c r="B129">
        <f t="shared" si="41"/>
        <v>0</v>
      </c>
      <c r="C129">
        <f ca="1" t="shared" si="42"/>
        <v>10</v>
      </c>
      <c r="D129">
        <f ca="1" t="shared" si="43"/>
        <v>1</v>
      </c>
      <c r="E129">
        <f ca="1" t="shared" si="44"/>
        <v>0</v>
      </c>
      <c r="F129">
        <f ca="1" t="shared" si="45"/>
        <v>0</v>
      </c>
      <c r="G129">
        <f ca="1" t="shared" si="46"/>
        <v>2</v>
      </c>
      <c r="H129">
        <f ca="1" t="shared" si="35"/>
        <v>0</v>
      </c>
      <c r="I129">
        <f ca="1" t="shared" si="36"/>
        <v>0</v>
      </c>
      <c r="J129" s="393" t="s">
        <v>103</v>
      </c>
      <c r="K129" s="162" t="str">
        <f t="shared" si="47"/>
        <v>10.1.2.</v>
      </c>
      <c r="L129" s="394" t="s">
        <v>233</v>
      </c>
      <c r="M129" s="394" t="s">
        <v>244</v>
      </c>
      <c r="N129" s="396" t="s">
        <v>398</v>
      </c>
      <c r="O129" s="397" t="s">
        <v>478</v>
      </c>
      <c r="P129" s="225">
        <f ca="1">OFFSET(PLQ!$E$12,ROW($P129)-ROW(P$12),0)</f>
        <v>1.16</v>
      </c>
      <c r="Q129" s="229"/>
      <c r="R129" s="232" t="s">
        <v>7</v>
      </c>
      <c r="S129" s="121">
        <f t="shared" si="37"/>
        <v>0</v>
      </c>
      <c r="T129" s="98">
        <f t="shared" si="38"/>
        <v>0</v>
      </c>
      <c r="U129" s="13" t="str">
        <f t="shared" si="48"/>
        <v>SEM VALOR</v>
      </c>
      <c r="V129" s="4">
        <f ca="1">IF(OR($A129=0,$A129="S",$A129&gt;CFF!$A$9),"",MAX(V$12:OFFSET(V129,-1,0))+1)</f>
      </c>
      <c r="W129" s="9" t="str">
        <f t="shared" si="49"/>
        <v>SINAPI-94964</v>
      </c>
      <c r="X129" s="4">
        <f ca="1" t="shared" si="39"/>
        <v>7493</v>
      </c>
      <c r="Y129" s="121">
        <v>575.26</v>
      </c>
      <c r="Z129" s="132">
        <f>ROUND(IF(ISNUMBER(R129),R129,IF(LEFT(R129,3)="BDI",HLOOKUP(R129,DADOS!$T$37:$X$38,2,FALSE),0)),15-11*$X$5)</f>
        <v>0.21</v>
      </c>
      <c r="AA129" s="4"/>
    </row>
    <row r="130" spans="1:27" ht="12.75">
      <c r="A130">
        <f t="shared" si="40"/>
        <v>2</v>
      </c>
      <c r="B130">
        <f t="shared" si="41"/>
        <v>5</v>
      </c>
      <c r="C130">
        <f ca="1" t="shared" si="42"/>
        <v>10</v>
      </c>
      <c r="D130">
        <f ca="1" t="shared" si="43"/>
        <v>2</v>
      </c>
      <c r="E130">
        <f ca="1" t="shared" si="44"/>
        <v>0</v>
      </c>
      <c r="F130">
        <f ca="1" t="shared" si="45"/>
        <v>0</v>
      </c>
      <c r="G130">
        <f ca="1" t="shared" si="46"/>
        <v>0</v>
      </c>
      <c r="H130">
        <f ca="1" t="shared" si="35"/>
        <v>33</v>
      </c>
      <c r="I130">
        <f ca="1" t="shared" si="36"/>
        <v>5</v>
      </c>
      <c r="J130" s="393" t="s">
        <v>100</v>
      </c>
      <c r="K130" s="162" t="str">
        <f t="shared" si="47"/>
        <v>10.2.</v>
      </c>
      <c r="L130" s="394"/>
      <c r="M130" s="394"/>
      <c r="N130" s="396" t="s">
        <v>365</v>
      </c>
      <c r="O130" s="397" t="s">
        <v>106</v>
      </c>
      <c r="P130" s="225">
        <f ca="1">OFFSET(PLQ!$E$12,ROW($P130)-ROW(P$12),0)</f>
        <v>0</v>
      </c>
      <c r="Q130" s="229"/>
      <c r="R130" s="232" t="s">
        <v>7</v>
      </c>
      <c r="S130" s="121">
        <f t="shared" si="37"/>
        <v>0</v>
      </c>
      <c r="T130" s="98">
        <f t="shared" si="38"/>
        <v>0</v>
      </c>
      <c r="U130" s="13" t="str">
        <f t="shared" si="48"/>
        <v>SEM VALOR</v>
      </c>
      <c r="V130" s="4">
        <f ca="1">IF(OR($A130=0,$A130="S",$A130&gt;CFF!$A$9),"",MAX(V$12:OFFSET(V130,-1,0))+1)</f>
        <v>29</v>
      </c>
      <c r="W130" s="9" t="b">
        <f t="shared" si="49"/>
        <v>0</v>
      </c>
      <c r="X130" s="4" t="str">
        <f ca="1" t="shared" si="39"/>
        <v>X</v>
      </c>
      <c r="Y130" s="121">
        <v>0</v>
      </c>
      <c r="Z130" s="132">
        <f>ROUND(IF(ISNUMBER(R130),R130,IF(LEFT(R130,3)="BDI",HLOOKUP(R130,DADOS!$T$37:$X$38,2,FALSE),0)),15-11*$X$5)</f>
        <v>0.21</v>
      </c>
      <c r="AA130" s="4"/>
    </row>
    <row r="131" spans="1:27" ht="12.75">
      <c r="A131" t="str">
        <f t="shared" si="40"/>
        <v>S</v>
      </c>
      <c r="B131">
        <f t="shared" si="41"/>
        <v>0</v>
      </c>
      <c r="C131">
        <f ca="1" t="shared" si="42"/>
        <v>10</v>
      </c>
      <c r="D131">
        <f ca="1" t="shared" si="43"/>
        <v>2</v>
      </c>
      <c r="E131">
        <f ca="1" t="shared" si="44"/>
        <v>0</v>
      </c>
      <c r="F131">
        <f ca="1" t="shared" si="45"/>
        <v>0</v>
      </c>
      <c r="G131">
        <f ca="1" t="shared" si="46"/>
        <v>1</v>
      </c>
      <c r="H131">
        <f ca="1" t="shared" si="35"/>
        <v>0</v>
      </c>
      <c r="I131">
        <f ca="1" t="shared" si="36"/>
        <v>0</v>
      </c>
      <c r="J131" s="393" t="s">
        <v>103</v>
      </c>
      <c r="K131" s="162" t="str">
        <f t="shared" si="47"/>
        <v>10.2.1.</v>
      </c>
      <c r="L131" s="394" t="s">
        <v>233</v>
      </c>
      <c r="M131" s="394" t="s">
        <v>245</v>
      </c>
      <c r="N131" s="396" t="s">
        <v>395</v>
      </c>
      <c r="O131" s="397" t="s">
        <v>479</v>
      </c>
      <c r="P131" s="225">
        <f ca="1">OFFSET(PLQ!$E$12,ROW($P131)-ROW(P$12),0)</f>
        <v>2.53</v>
      </c>
      <c r="Q131" s="229"/>
      <c r="R131" s="232" t="s">
        <v>7</v>
      </c>
      <c r="S131" s="121">
        <f t="shared" si="37"/>
        <v>0</v>
      </c>
      <c r="T131" s="98">
        <f t="shared" si="38"/>
        <v>0</v>
      </c>
      <c r="U131" s="13" t="str">
        <f t="shared" si="48"/>
        <v>SEM VALOR</v>
      </c>
      <c r="V131" s="4">
        <f ca="1">IF(OR($A131=0,$A131="S",$A131&gt;CFF!$A$9),"",MAX(V$12:OFFSET(V131,-1,0))+1)</f>
      </c>
      <c r="W131" s="9" t="str">
        <f t="shared" si="49"/>
        <v>SINAPI-92270</v>
      </c>
      <c r="X131" s="4">
        <f ca="1" t="shared" si="39"/>
        <v>7173</v>
      </c>
      <c r="Y131" s="121">
        <v>146.33</v>
      </c>
      <c r="Z131" s="132">
        <f>ROUND(IF(ISNUMBER(R131),R131,IF(LEFT(R131,3)="BDI",HLOOKUP(R131,DADOS!$T$37:$X$38,2,FALSE),0)),15-11*$X$5)</f>
        <v>0.21</v>
      </c>
      <c r="AA131" s="4"/>
    </row>
    <row r="132" spans="1:27" ht="25.5">
      <c r="A132" t="str">
        <f t="shared" si="40"/>
        <v>S</v>
      </c>
      <c r="B132">
        <f t="shared" si="41"/>
        <v>0</v>
      </c>
      <c r="C132">
        <f ca="1" t="shared" si="42"/>
        <v>10</v>
      </c>
      <c r="D132">
        <f ca="1" t="shared" si="43"/>
        <v>2</v>
      </c>
      <c r="E132">
        <f ca="1" t="shared" si="44"/>
        <v>0</v>
      </c>
      <c r="F132">
        <f ca="1" t="shared" si="45"/>
        <v>0</v>
      </c>
      <c r="G132">
        <f ca="1" t="shared" si="46"/>
        <v>2</v>
      </c>
      <c r="H132">
        <f ca="1" t="shared" si="35"/>
        <v>0</v>
      </c>
      <c r="I132">
        <f ca="1" t="shared" si="36"/>
        <v>0</v>
      </c>
      <c r="J132" s="393" t="s">
        <v>103</v>
      </c>
      <c r="K132" s="162" t="str">
        <f t="shared" si="47"/>
        <v>10.2.2.</v>
      </c>
      <c r="L132" s="394" t="s">
        <v>233</v>
      </c>
      <c r="M132" s="394" t="s">
        <v>246</v>
      </c>
      <c r="N132" s="396" t="s">
        <v>396</v>
      </c>
      <c r="O132" s="397" t="s">
        <v>482</v>
      </c>
      <c r="P132" s="225">
        <f ca="1">OFFSET(PLQ!$E$12,ROW($P132)-ROW(P$12),0)</f>
        <v>20.81</v>
      </c>
      <c r="Q132" s="229"/>
      <c r="R132" s="232" t="s">
        <v>7</v>
      </c>
      <c r="S132" s="121">
        <f t="shared" si="37"/>
        <v>0</v>
      </c>
      <c r="T132" s="98">
        <f t="shared" si="38"/>
        <v>0</v>
      </c>
      <c r="U132" s="13" t="str">
        <f t="shared" si="48"/>
        <v>SEM VALOR</v>
      </c>
      <c r="V132" s="4">
        <f ca="1">IF(OR($A132=0,$A132="S",$A132&gt;CFF!$A$9),"",MAX(V$12:OFFSET(V132,-1,0))+1)</f>
      </c>
      <c r="W132" s="9" t="str">
        <f t="shared" si="49"/>
        <v>SINAPI-96546</v>
      </c>
      <c r="X132" s="4">
        <f ca="1" t="shared" si="39"/>
        <v>7458</v>
      </c>
      <c r="Y132" s="121">
        <v>16.02</v>
      </c>
      <c r="Z132" s="132">
        <f>ROUND(IF(ISNUMBER(R132),R132,IF(LEFT(R132,3)="BDI",HLOOKUP(R132,DADOS!$T$37:$X$38,2,FALSE),0)),15-11*$X$5)</f>
        <v>0.21</v>
      </c>
      <c r="AA132" s="4"/>
    </row>
    <row r="133" spans="1:27" ht="12.75">
      <c r="A133" t="str">
        <f t="shared" si="40"/>
        <v>S</v>
      </c>
      <c r="B133">
        <f t="shared" si="41"/>
        <v>0</v>
      </c>
      <c r="C133">
        <f ca="1" t="shared" si="42"/>
        <v>10</v>
      </c>
      <c r="D133">
        <f ca="1" t="shared" si="43"/>
        <v>2</v>
      </c>
      <c r="E133">
        <f ca="1" t="shared" si="44"/>
        <v>0</v>
      </c>
      <c r="F133">
        <f ca="1" t="shared" si="45"/>
        <v>0</v>
      </c>
      <c r="G133">
        <f ca="1" t="shared" si="46"/>
        <v>3</v>
      </c>
      <c r="H133">
        <f ca="1" t="shared" si="35"/>
        <v>0</v>
      </c>
      <c r="I133">
        <f ca="1" t="shared" si="36"/>
        <v>0</v>
      </c>
      <c r="J133" s="393" t="s">
        <v>103</v>
      </c>
      <c r="K133" s="162" t="str">
        <f t="shared" si="47"/>
        <v>10.2.3.</v>
      </c>
      <c r="L133" s="394" t="s">
        <v>233</v>
      </c>
      <c r="M133" s="394" t="s">
        <v>247</v>
      </c>
      <c r="N133" s="396" t="s">
        <v>397</v>
      </c>
      <c r="O133" s="397" t="s">
        <v>482</v>
      </c>
      <c r="P133" s="225">
        <f ca="1">OFFSET(PLQ!$E$12,ROW($P133)-ROW(P$12),0)</f>
        <v>5.86</v>
      </c>
      <c r="Q133" s="229"/>
      <c r="R133" s="232" t="s">
        <v>7</v>
      </c>
      <c r="S133" s="121">
        <f t="shared" si="37"/>
        <v>0</v>
      </c>
      <c r="T133" s="98">
        <f t="shared" si="38"/>
        <v>0</v>
      </c>
      <c r="U133" s="13" t="str">
        <f t="shared" si="48"/>
        <v>SEM VALOR</v>
      </c>
      <c r="V133" s="4">
        <f ca="1">IF(OR($A133=0,$A133="S",$A133&gt;CFF!$A$9),"",MAX(V$12:OFFSET(V133,-1,0))+1)</f>
      </c>
      <c r="W133" s="9" t="str">
        <f t="shared" si="49"/>
        <v>SINAPI-96543</v>
      </c>
      <c r="X133" s="4">
        <f ca="1" t="shared" si="39"/>
        <v>7278</v>
      </c>
      <c r="Y133" s="121">
        <v>21.43</v>
      </c>
      <c r="Z133" s="132">
        <f>ROUND(IF(ISNUMBER(R133),R133,IF(LEFT(R133,3)="BDI",HLOOKUP(R133,DADOS!$T$37:$X$38,2,FALSE),0)),15-11*$X$5)</f>
        <v>0.21</v>
      </c>
      <c r="AA133" s="4"/>
    </row>
    <row r="134" spans="1:27" ht="25.5">
      <c r="A134" t="str">
        <f t="shared" si="40"/>
        <v>S</v>
      </c>
      <c r="B134">
        <f t="shared" si="41"/>
        <v>0</v>
      </c>
      <c r="C134">
        <f ca="1" t="shared" si="42"/>
        <v>10</v>
      </c>
      <c r="D134">
        <f ca="1" t="shared" si="43"/>
        <v>2</v>
      </c>
      <c r="E134">
        <f ca="1" t="shared" si="44"/>
        <v>0</v>
      </c>
      <c r="F134">
        <f ca="1" t="shared" si="45"/>
        <v>0</v>
      </c>
      <c r="G134">
        <f ca="1" t="shared" si="46"/>
        <v>4</v>
      </c>
      <c r="H134">
        <f ca="1" t="shared" si="35"/>
        <v>0</v>
      </c>
      <c r="I134">
        <f ca="1" t="shared" si="36"/>
        <v>0</v>
      </c>
      <c r="J134" s="393" t="s">
        <v>103</v>
      </c>
      <c r="K134" s="162" t="str">
        <f t="shared" si="47"/>
        <v>10.2.4.</v>
      </c>
      <c r="L134" s="394" t="s">
        <v>233</v>
      </c>
      <c r="M134" s="394" t="s">
        <v>244</v>
      </c>
      <c r="N134" s="396" t="s">
        <v>398</v>
      </c>
      <c r="O134" s="397" t="s">
        <v>478</v>
      </c>
      <c r="P134" s="225">
        <f ca="1">OFFSET(PLQ!$E$12,ROW($P134)-ROW(P$12),0)</f>
        <v>0.1</v>
      </c>
      <c r="Q134" s="229"/>
      <c r="R134" s="232" t="s">
        <v>7</v>
      </c>
      <c r="S134" s="121">
        <f t="shared" si="37"/>
        <v>0</v>
      </c>
      <c r="T134" s="98">
        <f t="shared" si="38"/>
        <v>0</v>
      </c>
      <c r="U134" s="13" t="str">
        <f t="shared" si="48"/>
        <v>SEM VALOR</v>
      </c>
      <c r="V134" s="4">
        <f ca="1">IF(OR($A134=0,$A134="S",$A134&gt;CFF!$A$9),"",MAX(V$12:OFFSET(V134,-1,0))+1)</f>
      </c>
      <c r="W134" s="9" t="str">
        <f t="shared" si="49"/>
        <v>SINAPI-94964</v>
      </c>
      <c r="X134" s="4">
        <f ca="1" t="shared" si="39"/>
        <v>7493</v>
      </c>
      <c r="Y134" s="121">
        <v>575.26</v>
      </c>
      <c r="Z134" s="132">
        <f>ROUND(IF(ISNUMBER(R134),R134,IF(LEFT(R134,3)="BDI",HLOOKUP(R134,DADOS!$T$37:$X$38,2,FALSE),0)),15-11*$X$5)</f>
        <v>0.21</v>
      </c>
      <c r="AA134" s="4"/>
    </row>
    <row r="135" spans="1:27" ht="12.75">
      <c r="A135">
        <f t="shared" si="40"/>
        <v>2</v>
      </c>
      <c r="B135">
        <f t="shared" si="41"/>
        <v>5</v>
      </c>
      <c r="C135">
        <f ca="1" t="shared" si="42"/>
        <v>10</v>
      </c>
      <c r="D135">
        <f ca="1" t="shared" si="43"/>
        <v>3</v>
      </c>
      <c r="E135">
        <f ca="1" t="shared" si="44"/>
        <v>0</v>
      </c>
      <c r="F135">
        <f ca="1" t="shared" si="45"/>
        <v>0</v>
      </c>
      <c r="G135">
        <f ca="1" t="shared" si="46"/>
        <v>0</v>
      </c>
      <c r="H135">
        <f ca="1" t="shared" si="35"/>
        <v>28</v>
      </c>
      <c r="I135">
        <f ca="1" t="shared" si="36"/>
        <v>5</v>
      </c>
      <c r="J135" s="393" t="s">
        <v>100</v>
      </c>
      <c r="K135" s="162" t="str">
        <f t="shared" si="47"/>
        <v>10.3.</v>
      </c>
      <c r="L135" s="394"/>
      <c r="M135" s="394"/>
      <c r="N135" s="396" t="s">
        <v>366</v>
      </c>
      <c r="O135" s="397" t="s">
        <v>106</v>
      </c>
      <c r="P135" s="225">
        <f ca="1">OFFSET(PLQ!$E$12,ROW($P135)-ROW(P$12),0)</f>
        <v>0</v>
      </c>
      <c r="Q135" s="229"/>
      <c r="R135" s="232" t="s">
        <v>7</v>
      </c>
      <c r="S135" s="121">
        <f t="shared" si="37"/>
        <v>0</v>
      </c>
      <c r="T135" s="98">
        <f t="shared" si="38"/>
        <v>0</v>
      </c>
      <c r="U135" s="13" t="str">
        <f t="shared" si="48"/>
        <v>SEM VALOR</v>
      </c>
      <c r="V135" s="4">
        <f ca="1">IF(OR($A135=0,$A135="S",$A135&gt;CFF!$A$9),"",MAX(V$12:OFFSET(V135,-1,0))+1)</f>
        <v>30</v>
      </c>
      <c r="W135" s="9" t="b">
        <f t="shared" si="49"/>
        <v>0</v>
      </c>
      <c r="X135" s="4" t="str">
        <f ca="1" t="shared" si="39"/>
        <v>X</v>
      </c>
      <c r="Y135" s="121">
        <v>0</v>
      </c>
      <c r="Z135" s="132">
        <f>ROUND(IF(ISNUMBER(R135),R135,IF(LEFT(R135,3)="BDI",HLOOKUP(R135,DADOS!$T$37:$X$38,2,FALSE),0)),15-11*$X$5)</f>
        <v>0.21</v>
      </c>
      <c r="AA135" s="4"/>
    </row>
    <row r="136" spans="1:27" ht="25.5">
      <c r="A136" t="str">
        <f t="shared" si="40"/>
        <v>S</v>
      </c>
      <c r="B136">
        <f t="shared" si="41"/>
        <v>0</v>
      </c>
      <c r="C136">
        <f ca="1" t="shared" si="42"/>
        <v>10</v>
      </c>
      <c r="D136">
        <f ca="1" t="shared" si="43"/>
        <v>3</v>
      </c>
      <c r="E136">
        <f ca="1" t="shared" si="44"/>
        <v>0</v>
      </c>
      <c r="F136">
        <f ca="1" t="shared" si="45"/>
        <v>0</v>
      </c>
      <c r="G136">
        <f ca="1" t="shared" si="46"/>
        <v>1</v>
      </c>
      <c r="H136">
        <f ca="1" t="shared" si="35"/>
        <v>0</v>
      </c>
      <c r="I136">
        <f ca="1" t="shared" si="36"/>
        <v>0</v>
      </c>
      <c r="J136" s="393" t="s">
        <v>103</v>
      </c>
      <c r="K136" s="162" t="str">
        <f t="shared" si="47"/>
        <v>10.3.1.</v>
      </c>
      <c r="L136" s="394" t="s">
        <v>233</v>
      </c>
      <c r="M136" s="394" t="s">
        <v>249</v>
      </c>
      <c r="N136" s="396" t="s">
        <v>400</v>
      </c>
      <c r="O136" s="397" t="s">
        <v>479</v>
      </c>
      <c r="P136" s="225">
        <f ca="1">OFFSET(PLQ!$E$12,ROW($P136)-ROW(P$12),0)</f>
        <v>3.78</v>
      </c>
      <c r="Q136" s="229"/>
      <c r="R136" s="232" t="s">
        <v>7</v>
      </c>
      <c r="S136" s="121">
        <f t="shared" si="37"/>
        <v>0</v>
      </c>
      <c r="T136" s="98">
        <f t="shared" si="38"/>
        <v>0</v>
      </c>
      <c r="U136" s="13" t="str">
        <f t="shared" si="48"/>
        <v>SEM VALOR</v>
      </c>
      <c r="V136" s="4">
        <f ca="1">IF(OR($A136=0,$A136="S",$A136&gt;CFF!$A$9),"",MAX(V$12:OFFSET(V136,-1,0))+1)</f>
      </c>
      <c r="W136" s="9" t="str">
        <f t="shared" si="49"/>
        <v>SINAPI-92269</v>
      </c>
      <c r="X136" s="4">
        <f ca="1" t="shared" si="39"/>
        <v>7172</v>
      </c>
      <c r="Y136" s="121">
        <v>142.08</v>
      </c>
      <c r="Z136" s="132">
        <f>ROUND(IF(ISNUMBER(R136),R136,IF(LEFT(R136,3)="BDI",HLOOKUP(R136,DADOS!$T$37:$X$38,2,FALSE),0)),15-11*$X$5)</f>
        <v>0.21</v>
      </c>
      <c r="AA136" s="4"/>
    </row>
    <row r="137" spans="1:27" ht="12.75">
      <c r="A137" t="str">
        <f t="shared" si="40"/>
        <v>S</v>
      </c>
      <c r="B137">
        <f t="shared" si="41"/>
        <v>0</v>
      </c>
      <c r="C137">
        <f ca="1" t="shared" si="42"/>
        <v>10</v>
      </c>
      <c r="D137">
        <f ca="1" t="shared" si="43"/>
        <v>3</v>
      </c>
      <c r="E137">
        <f ca="1" t="shared" si="44"/>
        <v>0</v>
      </c>
      <c r="F137">
        <f ca="1" t="shared" si="45"/>
        <v>0</v>
      </c>
      <c r="G137">
        <f ca="1" t="shared" si="46"/>
        <v>2</v>
      </c>
      <c r="H137">
        <f ca="1" t="shared" si="35"/>
        <v>0</v>
      </c>
      <c r="I137">
        <f ca="1" t="shared" si="36"/>
        <v>0</v>
      </c>
      <c r="J137" s="393" t="s">
        <v>103</v>
      </c>
      <c r="K137" s="162" t="str">
        <f t="shared" si="47"/>
        <v>10.3.2.</v>
      </c>
      <c r="L137" s="394" t="s">
        <v>233</v>
      </c>
      <c r="M137" s="394" t="s">
        <v>246</v>
      </c>
      <c r="N137" s="396" t="s">
        <v>382</v>
      </c>
      <c r="O137" s="397" t="s">
        <v>482</v>
      </c>
      <c r="P137" s="225">
        <f ca="1">OFFSET(PLQ!$E$12,ROW($P137)-ROW(P$12),0)</f>
        <v>24.68</v>
      </c>
      <c r="Q137" s="229"/>
      <c r="R137" s="232" t="s">
        <v>7</v>
      </c>
      <c r="S137" s="121">
        <f t="shared" si="37"/>
        <v>0</v>
      </c>
      <c r="T137" s="98">
        <f t="shared" si="38"/>
        <v>0</v>
      </c>
      <c r="U137" s="13" t="str">
        <f t="shared" si="48"/>
        <v>SEM VALOR</v>
      </c>
      <c r="V137" s="4">
        <f ca="1">IF(OR($A137=0,$A137="S",$A137&gt;CFF!$A$9),"",MAX(V$12:OFFSET(V137,-1,0))+1)</f>
      </c>
      <c r="W137" s="9" t="str">
        <f t="shared" si="49"/>
        <v>SINAPI-96546</v>
      </c>
      <c r="X137" s="4">
        <f ca="1" t="shared" si="39"/>
        <v>7458</v>
      </c>
      <c r="Y137" s="121">
        <v>16.02</v>
      </c>
      <c r="Z137" s="132">
        <f>ROUND(IF(ISNUMBER(R137),R137,IF(LEFT(R137,3)="BDI",HLOOKUP(R137,DADOS!$T$37:$X$38,2,FALSE),0)),15-11*$X$5)</f>
        <v>0.21</v>
      </c>
      <c r="AA137" s="4"/>
    </row>
    <row r="138" spans="1:27" ht="12.75">
      <c r="A138" t="str">
        <f t="shared" si="40"/>
        <v>S</v>
      </c>
      <c r="B138">
        <f t="shared" si="41"/>
        <v>0</v>
      </c>
      <c r="C138">
        <f ca="1" t="shared" si="42"/>
        <v>10</v>
      </c>
      <c r="D138">
        <f ca="1" t="shared" si="43"/>
        <v>3</v>
      </c>
      <c r="E138">
        <f ca="1" t="shared" si="44"/>
        <v>0</v>
      </c>
      <c r="F138">
        <f ca="1" t="shared" si="45"/>
        <v>0</v>
      </c>
      <c r="G138">
        <f ca="1" t="shared" si="46"/>
        <v>3</v>
      </c>
      <c r="H138">
        <f ca="1" t="shared" si="35"/>
        <v>0</v>
      </c>
      <c r="I138">
        <f ca="1" t="shared" si="36"/>
        <v>0</v>
      </c>
      <c r="J138" s="393" t="s">
        <v>103</v>
      </c>
      <c r="K138" s="162" t="str">
        <f t="shared" si="47"/>
        <v>10.3.3.</v>
      </c>
      <c r="L138" s="394" t="s">
        <v>233</v>
      </c>
      <c r="M138" s="394" t="s">
        <v>247</v>
      </c>
      <c r="N138" s="396" t="s">
        <v>397</v>
      </c>
      <c r="O138" s="397" t="s">
        <v>482</v>
      </c>
      <c r="P138" s="225">
        <f ca="1">OFFSET(PLQ!$E$12,ROW($P138)-ROW(P$12),0)</f>
        <v>6.91</v>
      </c>
      <c r="Q138" s="229"/>
      <c r="R138" s="232" t="s">
        <v>7</v>
      </c>
      <c r="S138" s="121">
        <f t="shared" si="37"/>
        <v>0</v>
      </c>
      <c r="T138" s="98">
        <f t="shared" si="38"/>
        <v>0</v>
      </c>
      <c r="U138" s="13" t="str">
        <f t="shared" si="48"/>
        <v>SEM VALOR</v>
      </c>
      <c r="V138" s="4">
        <f ca="1">IF(OR($A138=0,$A138="S",$A138&gt;CFF!$A$9),"",MAX(V$12:OFFSET(V138,-1,0))+1)</f>
      </c>
      <c r="W138" s="9" t="str">
        <f t="shared" si="49"/>
        <v>SINAPI-96543</v>
      </c>
      <c r="X138" s="4">
        <f ca="1" t="shared" si="39"/>
        <v>7278</v>
      </c>
      <c r="Y138" s="121">
        <v>21.43</v>
      </c>
      <c r="Z138" s="132">
        <f>ROUND(IF(ISNUMBER(R138),R138,IF(LEFT(R138,3)="BDI",HLOOKUP(R138,DADOS!$T$37:$X$38,2,FALSE),0)),15-11*$X$5)</f>
        <v>0.21</v>
      </c>
      <c r="AA138" s="4"/>
    </row>
    <row r="139" spans="1:27" ht="25.5">
      <c r="A139" t="str">
        <f t="shared" si="40"/>
        <v>S</v>
      </c>
      <c r="B139">
        <f t="shared" si="41"/>
        <v>0</v>
      </c>
      <c r="C139">
        <f ca="1" t="shared" si="42"/>
        <v>10</v>
      </c>
      <c r="D139">
        <f ca="1" t="shared" si="43"/>
        <v>3</v>
      </c>
      <c r="E139">
        <f ca="1" t="shared" si="44"/>
        <v>0</v>
      </c>
      <c r="F139">
        <f ca="1" t="shared" si="45"/>
        <v>0</v>
      </c>
      <c r="G139">
        <f ca="1" t="shared" si="46"/>
        <v>4</v>
      </c>
      <c r="H139">
        <f ca="1" t="shared" si="35"/>
        <v>0</v>
      </c>
      <c r="I139">
        <f ca="1" t="shared" si="36"/>
        <v>0</v>
      </c>
      <c r="J139" s="393" t="s">
        <v>103</v>
      </c>
      <c r="K139" s="162" t="str">
        <f t="shared" si="47"/>
        <v>10.3.4.</v>
      </c>
      <c r="L139" s="394" t="s">
        <v>233</v>
      </c>
      <c r="M139" s="394" t="s">
        <v>244</v>
      </c>
      <c r="N139" s="396" t="s">
        <v>398</v>
      </c>
      <c r="O139" s="397" t="s">
        <v>478</v>
      </c>
      <c r="P139" s="225">
        <f ca="1">OFFSET(PLQ!$E$12,ROW($P139)-ROW(P$12),0)</f>
        <v>0.23</v>
      </c>
      <c r="Q139" s="229"/>
      <c r="R139" s="232" t="s">
        <v>7</v>
      </c>
      <c r="S139" s="121">
        <f t="shared" si="37"/>
        <v>0</v>
      </c>
      <c r="T139" s="98">
        <f t="shared" si="38"/>
        <v>0</v>
      </c>
      <c r="U139" s="13" t="str">
        <f t="shared" si="48"/>
        <v>SEM VALOR</v>
      </c>
      <c r="V139" s="4">
        <f ca="1">IF(OR($A139=0,$A139="S",$A139&gt;CFF!$A$9),"",MAX(V$12:OFFSET(V139,-1,0))+1)</f>
      </c>
      <c r="W139" s="9" t="str">
        <f t="shared" si="49"/>
        <v>SINAPI-94964</v>
      </c>
      <c r="X139" s="4">
        <f ca="1" t="shared" si="39"/>
        <v>7493</v>
      </c>
      <c r="Y139" s="121">
        <v>575.26</v>
      </c>
      <c r="Z139" s="132">
        <f>ROUND(IF(ISNUMBER(R139),R139,IF(LEFT(R139,3)="BDI",HLOOKUP(R139,DADOS!$T$37:$X$38,2,FALSE),0)),15-11*$X$5)</f>
        <v>0.21</v>
      </c>
      <c r="AA139" s="4"/>
    </row>
    <row r="140" spans="1:27" ht="12.75">
      <c r="A140">
        <f t="shared" si="40"/>
        <v>2</v>
      </c>
      <c r="B140">
        <f t="shared" si="41"/>
        <v>3</v>
      </c>
      <c r="C140">
        <f ca="1" t="shared" si="42"/>
        <v>10</v>
      </c>
      <c r="D140">
        <f ca="1" t="shared" si="43"/>
        <v>4</v>
      </c>
      <c r="E140">
        <f ca="1" t="shared" si="44"/>
        <v>0</v>
      </c>
      <c r="F140">
        <f ca="1" t="shared" si="45"/>
        <v>0</v>
      </c>
      <c r="G140">
        <f ca="1" t="shared" si="46"/>
        <v>0</v>
      </c>
      <c r="H140">
        <f ca="1" t="shared" si="35"/>
        <v>23</v>
      </c>
      <c r="I140">
        <f ca="1" t="shared" si="36"/>
        <v>3</v>
      </c>
      <c r="J140" s="393" t="s">
        <v>100</v>
      </c>
      <c r="K140" s="162" t="str">
        <f t="shared" si="47"/>
        <v>10.4.</v>
      </c>
      <c r="L140" s="394"/>
      <c r="M140" s="394"/>
      <c r="N140" s="396" t="s">
        <v>367</v>
      </c>
      <c r="O140" s="397" t="s">
        <v>106</v>
      </c>
      <c r="P140" s="225">
        <f ca="1">OFFSET(PLQ!$E$12,ROW($P140)-ROW(P$12),0)</f>
        <v>0</v>
      </c>
      <c r="Q140" s="229"/>
      <c r="R140" s="232" t="s">
        <v>7</v>
      </c>
      <c r="S140" s="121">
        <f t="shared" si="37"/>
        <v>0</v>
      </c>
      <c r="T140" s="98">
        <f t="shared" si="38"/>
        <v>0</v>
      </c>
      <c r="U140" s="13" t="str">
        <f t="shared" si="48"/>
        <v>SEM VALOR</v>
      </c>
      <c r="V140" s="4">
        <f ca="1">IF(OR($A140=0,$A140="S",$A140&gt;CFF!$A$9),"",MAX(V$12:OFFSET(V140,-1,0))+1)</f>
        <v>31</v>
      </c>
      <c r="W140" s="9" t="b">
        <f t="shared" si="49"/>
        <v>0</v>
      </c>
      <c r="X140" s="4" t="str">
        <f ca="1" t="shared" si="39"/>
        <v>X</v>
      </c>
      <c r="Y140" s="121">
        <v>0</v>
      </c>
      <c r="Z140" s="132">
        <f>ROUND(IF(ISNUMBER(R140),R140,IF(LEFT(R140,3)="BDI",HLOOKUP(R140,DADOS!$T$37:$X$38,2,FALSE),0)),15-11*$X$5)</f>
        <v>0.21</v>
      </c>
      <c r="AA140" s="4"/>
    </row>
    <row r="141" spans="1:27" ht="25.5">
      <c r="A141" t="str">
        <f t="shared" si="40"/>
        <v>S</v>
      </c>
      <c r="B141">
        <f t="shared" si="41"/>
        <v>0</v>
      </c>
      <c r="C141">
        <f ca="1" t="shared" si="42"/>
        <v>10</v>
      </c>
      <c r="D141">
        <f ca="1" t="shared" si="43"/>
        <v>4</v>
      </c>
      <c r="E141">
        <f ca="1" t="shared" si="44"/>
        <v>0</v>
      </c>
      <c r="F141">
        <f ca="1" t="shared" si="45"/>
        <v>0</v>
      </c>
      <c r="G141">
        <f ca="1" t="shared" si="46"/>
        <v>1</v>
      </c>
      <c r="H141">
        <f aca="true" ca="1" t="shared" si="50" ref="H141:H166">IF(OR($A141="S",$A141=0),0,MATCH(0,OFFSET($B141,1,$A141,ROW($A$167)-ROW($A141)),0))</f>
        <v>0</v>
      </c>
      <c r="I141">
        <f aca="true" ca="1" t="shared" si="51" ref="I141:I166">IF(OR($A141="S",$A141=0),0,MATCH(OFFSET($B141,0,$A141)+1,OFFSET($B141,1,$A141,ROW($A$167)-ROW($A141)),0))</f>
        <v>0</v>
      </c>
      <c r="J141" s="393" t="s">
        <v>103</v>
      </c>
      <c r="K141" s="162" t="str">
        <f t="shared" si="47"/>
        <v>10.4.1.</v>
      </c>
      <c r="L141" s="394" t="s">
        <v>233</v>
      </c>
      <c r="M141" s="394" t="s">
        <v>244</v>
      </c>
      <c r="N141" s="396" t="s">
        <v>398</v>
      </c>
      <c r="O141" s="397" t="s">
        <v>478</v>
      </c>
      <c r="P141" s="225">
        <f ca="1">OFFSET(PLQ!$E$12,ROW($P141)-ROW(P$12),0)</f>
        <v>0.32</v>
      </c>
      <c r="Q141" s="229"/>
      <c r="R141" s="232" t="s">
        <v>7</v>
      </c>
      <c r="S141" s="121">
        <f t="shared" si="37"/>
        <v>0</v>
      </c>
      <c r="T141" s="98">
        <f t="shared" si="38"/>
        <v>0</v>
      </c>
      <c r="U141" s="13" t="str">
        <f t="shared" si="48"/>
        <v>SEM VALOR</v>
      </c>
      <c r="V141" s="4">
        <f ca="1">IF(OR($A141=0,$A141="S",$A141&gt;CFF!$A$9),"",MAX(V$12:OFFSET(V141,-1,0))+1)</f>
      </c>
      <c r="W141" s="9" t="str">
        <f t="shared" si="49"/>
        <v>SINAPI-94964</v>
      </c>
      <c r="X141" s="4">
        <f ca="1" t="shared" si="39"/>
        <v>7493</v>
      </c>
      <c r="Y141" s="121">
        <v>575.26</v>
      </c>
      <c r="Z141" s="132">
        <f>ROUND(IF(ISNUMBER(R141),R141,IF(LEFT(R141,3)="BDI",HLOOKUP(R141,DADOS!$T$37:$X$38,2,FALSE),0)),15-11*$X$5)</f>
        <v>0.21</v>
      </c>
      <c r="AA141" s="4"/>
    </row>
    <row r="142" spans="1:27" ht="25.5">
      <c r="A142" t="str">
        <f t="shared" si="40"/>
        <v>S</v>
      </c>
      <c r="B142">
        <f t="shared" si="41"/>
        <v>0</v>
      </c>
      <c r="C142">
        <f ca="1" t="shared" si="42"/>
        <v>10</v>
      </c>
      <c r="D142">
        <f ca="1" t="shared" si="43"/>
        <v>4</v>
      </c>
      <c r="E142">
        <f ca="1" t="shared" si="44"/>
        <v>0</v>
      </c>
      <c r="F142">
        <f ca="1" t="shared" si="45"/>
        <v>0</v>
      </c>
      <c r="G142">
        <f ca="1" t="shared" si="46"/>
        <v>2</v>
      </c>
      <c r="H142">
        <f ca="1" t="shared" si="50"/>
        <v>0</v>
      </c>
      <c r="I142">
        <f ca="1" t="shared" si="51"/>
        <v>0</v>
      </c>
      <c r="J142" s="393" t="s">
        <v>103</v>
      </c>
      <c r="K142" s="162" t="str">
        <f t="shared" si="47"/>
        <v>10.4.2.</v>
      </c>
      <c r="L142" s="394" t="s">
        <v>233</v>
      </c>
      <c r="M142" s="394" t="s">
        <v>252</v>
      </c>
      <c r="N142" s="396" t="s">
        <v>403</v>
      </c>
      <c r="O142" s="397" t="s">
        <v>479</v>
      </c>
      <c r="P142" s="225">
        <f ca="1">OFFSET(PLQ!$E$12,ROW($P142)-ROW(P$12),0)</f>
        <v>6.81</v>
      </c>
      <c r="Q142" s="229"/>
      <c r="R142" s="232" t="s">
        <v>7</v>
      </c>
      <c r="S142" s="121">
        <f t="shared" si="37"/>
        <v>0</v>
      </c>
      <c r="T142" s="98">
        <f t="shared" si="38"/>
        <v>0</v>
      </c>
      <c r="U142" s="13" t="str">
        <f t="shared" si="48"/>
        <v>SEM VALOR</v>
      </c>
      <c r="V142" s="4">
        <f ca="1">IF(OR($A142=0,$A142="S",$A142&gt;CFF!$A$9),"",MAX(V$12:OFFSET(V142,-1,0))+1)</f>
      </c>
      <c r="W142" s="9" t="str">
        <f t="shared" si="49"/>
        <v>SINAPI-101964</v>
      </c>
      <c r="X142" s="4">
        <f ca="1" t="shared" si="39"/>
        <v>7557</v>
      </c>
      <c r="Y142" s="121">
        <v>197.79</v>
      </c>
      <c r="Z142" s="132">
        <f>ROUND(IF(ISNUMBER(R142),R142,IF(LEFT(R142,3)="BDI",HLOOKUP(R142,DADOS!$T$37:$X$38,2,FALSE),0)),15-11*$X$5)</f>
        <v>0.21</v>
      </c>
      <c r="AA142" s="4"/>
    </row>
    <row r="143" spans="1:27" ht="12.75">
      <c r="A143">
        <f t="shared" si="40"/>
        <v>2</v>
      </c>
      <c r="B143">
        <f t="shared" si="41"/>
        <v>2</v>
      </c>
      <c r="C143">
        <f ca="1" t="shared" si="42"/>
        <v>10</v>
      </c>
      <c r="D143">
        <f ca="1" t="shared" si="43"/>
        <v>5</v>
      </c>
      <c r="E143">
        <f ca="1" t="shared" si="44"/>
        <v>0</v>
      </c>
      <c r="F143">
        <f ca="1" t="shared" si="45"/>
        <v>0</v>
      </c>
      <c r="G143">
        <f ca="1" t="shared" si="46"/>
        <v>0</v>
      </c>
      <c r="H143">
        <f ca="1" t="shared" si="50"/>
        <v>20</v>
      </c>
      <c r="I143">
        <f ca="1" t="shared" si="51"/>
        <v>2</v>
      </c>
      <c r="J143" s="393" t="s">
        <v>100</v>
      </c>
      <c r="K143" s="162" t="str">
        <f t="shared" si="47"/>
        <v>10.5.</v>
      </c>
      <c r="L143" s="394"/>
      <c r="M143" s="394"/>
      <c r="N143" s="396" t="s">
        <v>368</v>
      </c>
      <c r="O143" s="397" t="s">
        <v>106</v>
      </c>
      <c r="P143" s="225">
        <f ca="1">OFFSET(PLQ!$E$12,ROW($P143)-ROW(P$12),0)</f>
        <v>0</v>
      </c>
      <c r="Q143" s="229"/>
      <c r="R143" s="232" t="s">
        <v>7</v>
      </c>
      <c r="S143" s="121">
        <f t="shared" si="37"/>
        <v>0</v>
      </c>
      <c r="T143" s="98">
        <f t="shared" si="38"/>
        <v>0</v>
      </c>
      <c r="U143" s="13" t="str">
        <f t="shared" si="48"/>
        <v>SEM VALOR</v>
      </c>
      <c r="V143" s="4">
        <f ca="1">IF(OR($A143=0,$A143="S",$A143&gt;CFF!$A$9),"",MAX(V$12:OFFSET(V143,-1,0))+1)</f>
        <v>32</v>
      </c>
      <c r="W143" s="9" t="b">
        <f t="shared" si="49"/>
        <v>0</v>
      </c>
      <c r="X143" s="4" t="str">
        <f ca="1" t="shared" si="39"/>
        <v>X</v>
      </c>
      <c r="Y143" s="121">
        <v>0</v>
      </c>
      <c r="Z143" s="132">
        <f>ROUND(IF(ISNUMBER(R143),R143,IF(LEFT(R143,3)="BDI",HLOOKUP(R143,DADOS!$T$37:$X$38,2,FALSE),0)),15-11*$X$5)</f>
        <v>0.21</v>
      </c>
      <c r="AA143" s="4"/>
    </row>
    <row r="144" spans="1:27" ht="25.5">
      <c r="A144" t="str">
        <f t="shared" si="40"/>
        <v>S</v>
      </c>
      <c r="B144">
        <f t="shared" si="41"/>
        <v>0</v>
      </c>
      <c r="C144">
        <f ca="1" t="shared" si="42"/>
        <v>10</v>
      </c>
      <c r="D144">
        <f ca="1" t="shared" si="43"/>
        <v>5</v>
      </c>
      <c r="E144">
        <f ca="1" t="shared" si="44"/>
        <v>0</v>
      </c>
      <c r="F144">
        <f ca="1" t="shared" si="45"/>
        <v>0</v>
      </c>
      <c r="G144">
        <f ca="1" t="shared" si="46"/>
        <v>1</v>
      </c>
      <c r="H144">
        <f ca="1" t="shared" si="50"/>
        <v>0</v>
      </c>
      <c r="I144">
        <f ca="1" t="shared" si="51"/>
        <v>0</v>
      </c>
      <c r="J144" s="393" t="s">
        <v>103</v>
      </c>
      <c r="K144" s="162" t="str">
        <f t="shared" si="47"/>
        <v>10.5.1.</v>
      </c>
      <c r="L144" s="394" t="s">
        <v>233</v>
      </c>
      <c r="M144" s="394" t="s">
        <v>257</v>
      </c>
      <c r="N144" s="396" t="s">
        <v>406</v>
      </c>
      <c r="O144" s="397" t="s">
        <v>479</v>
      </c>
      <c r="P144" s="225">
        <f ca="1">OFFSET(PLQ!$E$12,ROW($P144)-ROW(P$12),0)</f>
        <v>7.73</v>
      </c>
      <c r="Q144" s="229"/>
      <c r="R144" s="232" t="s">
        <v>7</v>
      </c>
      <c r="S144" s="121">
        <f t="shared" si="37"/>
        <v>0</v>
      </c>
      <c r="T144" s="98">
        <f t="shared" si="38"/>
        <v>0</v>
      </c>
      <c r="U144" s="13" t="str">
        <f t="shared" si="48"/>
        <v>SEM VALOR</v>
      </c>
      <c r="V144" s="4">
        <f ca="1">IF(OR($A144=0,$A144="S",$A144&gt;CFF!$A$9),"",MAX(V$12:OFFSET(V144,-1,0))+1)</f>
      </c>
      <c r="W144" s="9" t="str">
        <f t="shared" si="49"/>
        <v>SINAPI-103330</v>
      </c>
      <c r="X144" s="4">
        <f ca="1" t="shared" si="39"/>
        <v>10734</v>
      </c>
      <c r="Y144" s="121">
        <v>99.23</v>
      </c>
      <c r="Z144" s="132">
        <f>ROUND(IF(ISNUMBER(R144),R144,IF(LEFT(R144,3)="BDI",HLOOKUP(R144,DADOS!$T$37:$X$38,2,FALSE),0)),15-11*$X$5)</f>
        <v>0.21</v>
      </c>
      <c r="AA144" s="4"/>
    </row>
    <row r="145" spans="1:27" ht="12.75">
      <c r="A145">
        <f t="shared" si="40"/>
        <v>2</v>
      </c>
      <c r="B145">
        <f t="shared" si="41"/>
        <v>3</v>
      </c>
      <c r="C145">
        <f ca="1" t="shared" si="42"/>
        <v>10</v>
      </c>
      <c r="D145">
        <f ca="1" t="shared" si="43"/>
        <v>6</v>
      </c>
      <c r="E145">
        <f ca="1" t="shared" si="44"/>
        <v>0</v>
      </c>
      <c r="F145">
        <f ca="1" t="shared" si="45"/>
        <v>0</v>
      </c>
      <c r="G145">
        <f ca="1" t="shared" si="46"/>
        <v>0</v>
      </c>
      <c r="H145">
        <f ca="1" t="shared" si="50"/>
        <v>18</v>
      </c>
      <c r="I145">
        <f ca="1" t="shared" si="51"/>
        <v>3</v>
      </c>
      <c r="J145" s="393" t="s">
        <v>100</v>
      </c>
      <c r="K145" s="162" t="str">
        <f t="shared" si="47"/>
        <v>10.6.</v>
      </c>
      <c r="L145" s="394"/>
      <c r="M145" s="394"/>
      <c r="N145" s="396" t="s">
        <v>369</v>
      </c>
      <c r="O145" s="397" t="s">
        <v>106</v>
      </c>
      <c r="P145" s="225">
        <f ca="1">OFFSET(PLQ!$E$12,ROW($P145)-ROW(P$12),0)</f>
        <v>0</v>
      </c>
      <c r="Q145" s="229"/>
      <c r="R145" s="232" t="s">
        <v>7</v>
      </c>
      <c r="S145" s="121">
        <f t="shared" si="37"/>
        <v>0</v>
      </c>
      <c r="T145" s="98">
        <f t="shared" si="38"/>
        <v>0</v>
      </c>
      <c r="U145" s="13" t="str">
        <f t="shared" si="48"/>
        <v>SEM VALOR</v>
      </c>
      <c r="V145" s="4">
        <f ca="1">IF(OR($A145=0,$A145="S",$A145&gt;CFF!$A$9),"",MAX(V$12:OFFSET(V145,-1,0))+1)</f>
        <v>33</v>
      </c>
      <c r="W145" s="9" t="b">
        <f t="shared" si="49"/>
        <v>0</v>
      </c>
      <c r="X145" s="4" t="str">
        <f ca="1" t="shared" si="39"/>
        <v>X</v>
      </c>
      <c r="Y145" s="121">
        <v>0</v>
      </c>
      <c r="Z145" s="132">
        <f>ROUND(IF(ISNUMBER(R145),R145,IF(LEFT(R145,3)="BDI",HLOOKUP(R145,DADOS!$T$37:$X$38,2,FALSE),0)),15-11*$X$5)</f>
        <v>0.21</v>
      </c>
      <c r="AA145" s="4"/>
    </row>
    <row r="146" spans="1:27" ht="38.25">
      <c r="A146" t="str">
        <f t="shared" si="40"/>
        <v>S</v>
      </c>
      <c r="B146">
        <f t="shared" si="41"/>
        <v>0</v>
      </c>
      <c r="C146">
        <f ca="1" t="shared" si="42"/>
        <v>10</v>
      </c>
      <c r="D146">
        <f ca="1" t="shared" si="43"/>
        <v>6</v>
      </c>
      <c r="E146">
        <f ca="1" t="shared" si="44"/>
        <v>0</v>
      </c>
      <c r="F146">
        <f ca="1" t="shared" si="45"/>
        <v>0</v>
      </c>
      <c r="G146">
        <f ca="1" t="shared" si="46"/>
        <v>1</v>
      </c>
      <c r="H146">
        <f ca="1" t="shared" si="50"/>
        <v>0</v>
      </c>
      <c r="I146">
        <f ca="1" t="shared" si="51"/>
        <v>0</v>
      </c>
      <c r="J146" s="393" t="s">
        <v>103</v>
      </c>
      <c r="K146" s="162" t="str">
        <f t="shared" si="47"/>
        <v>10.6.1.</v>
      </c>
      <c r="L146" s="394" t="s">
        <v>233</v>
      </c>
      <c r="M146" s="394" t="s">
        <v>300</v>
      </c>
      <c r="N146" s="396" t="s">
        <v>467</v>
      </c>
      <c r="O146" s="397" t="s">
        <v>479</v>
      </c>
      <c r="P146" s="225">
        <f ca="1">OFFSET(PLQ!$E$12,ROW($P146)-ROW(P$12),0)</f>
        <v>4.44</v>
      </c>
      <c r="Q146" s="229"/>
      <c r="R146" s="232" t="s">
        <v>7</v>
      </c>
      <c r="S146" s="121">
        <f t="shared" si="37"/>
        <v>0</v>
      </c>
      <c r="T146" s="98">
        <f t="shared" si="38"/>
        <v>0</v>
      </c>
      <c r="U146" s="13" t="str">
        <f t="shared" si="48"/>
        <v>SEM VALOR</v>
      </c>
      <c r="V146" s="4">
        <f ca="1">IF(OR($A146=0,$A146="S",$A146&gt;CFF!$A$9),"",MAX(V$12:OFFSET(V146,-1,0))+1)</f>
      </c>
      <c r="W146" s="9" t="str">
        <f t="shared" si="49"/>
        <v>SINAPI-94438</v>
      </c>
      <c r="X146" s="4">
        <f ca="1" t="shared" si="39"/>
        <v>11239</v>
      </c>
      <c r="Y146" s="121">
        <v>55.04</v>
      </c>
      <c r="Z146" s="132">
        <f>ROUND(IF(ISNUMBER(R146),R146,IF(LEFT(R146,3)="BDI",HLOOKUP(R146,DADOS!$T$37:$X$38,2,FALSE),0)),15-11*$X$5)</f>
        <v>0.21</v>
      </c>
      <c r="AA146" s="4"/>
    </row>
    <row r="147" spans="1:27" ht="38.25">
      <c r="A147" t="str">
        <f>CHOOSE(1+LOG(1+2*(J147="Meta")+4*(J147="Nível 2")+8*(J147="Nível 3")+16*(J147="Nível 4")+32*(J147="Serviço"),2),0,1,2,3,4,"S")</f>
        <v>S</v>
      </c>
      <c r="B147">
        <f>IF(OR(A147="S",A147=0),0,IF(ISERROR(I147),H147,SMALL(H147:I147,1)))</f>
        <v>0</v>
      </c>
      <c r="C147">
        <f ca="1">IF($A147=1,OFFSET(C147,-1,0)+1,OFFSET(C147,-1,0))</f>
        <v>10</v>
      </c>
      <c r="D147">
        <f ca="1">IF($A147=1,0,IF($A147=2,OFFSET(D147,-1,0)+1,OFFSET(D147,-1,0)))</f>
        <v>6</v>
      </c>
      <c r="E147">
        <f ca="1">IF(AND($A147&lt;=2,$A147&lt;&gt;0),0,IF($A147=3,OFFSET(E147,-1,0)+1,OFFSET(E147,-1,0)))</f>
        <v>0</v>
      </c>
      <c r="F147">
        <f ca="1">IF(AND($A147&lt;=3,$A147&lt;&gt;0),0,IF($A147=4,OFFSET(F147,-1,0)+1,OFFSET(F147,-1,0)))</f>
        <v>0</v>
      </c>
      <c r="G147">
        <f ca="1">IF(AND($A147&lt;=4,$A147&lt;&gt;0),0,IF($A147="S",OFFSET(G147,-1,0)+1,OFFSET(G147,-1,0)))</f>
        <v>2</v>
      </c>
      <c r="H147">
        <f ca="1" t="shared" si="50"/>
        <v>0</v>
      </c>
      <c r="I147">
        <f ca="1" t="shared" si="51"/>
        <v>0</v>
      </c>
      <c r="J147" s="393" t="s">
        <v>103</v>
      </c>
      <c r="K147" s="162" t="str">
        <f>IF($A147=0,"-",CONCATENATE(C147&amp;".",IF(AND($A$5&gt;=2,$A147&gt;=2),D147&amp;".",""),IF(AND($A$5&gt;=3,$A147&gt;=3),E147&amp;".",""),IF(AND($A$5&gt;=4,$A147&gt;=4),F147&amp;".",""),IF($A147="S",G147&amp;".","")))</f>
        <v>10.6.2.</v>
      </c>
      <c r="L147" s="394" t="s">
        <v>233</v>
      </c>
      <c r="M147" s="394" t="s">
        <v>370</v>
      </c>
      <c r="N147" s="396" t="s">
        <v>468</v>
      </c>
      <c r="O147" s="397" t="s">
        <v>479</v>
      </c>
      <c r="P147" s="225">
        <f ca="1">OFFSET(PLQ!$E$12,ROW($P147)-ROW(P$12),0)</f>
        <v>4.44</v>
      </c>
      <c r="Q147" s="229"/>
      <c r="R147" s="232" t="s">
        <v>7</v>
      </c>
      <c r="S147" s="121">
        <f>IF($A147="S",IF($Q$10="Preço Unitário (R$)",PO.CustoUnitario,ROUND(PO.CustoUnitario*(1+$Z147),15-13*$X$6)),0)</f>
        <v>0</v>
      </c>
      <c r="T147" s="98">
        <f>IF($A147="S",VTOTAL1,IF($A147=0,0,ROUND(SomaAgrup,15-13*$X$7)))</f>
        <v>0</v>
      </c>
      <c r="U147" s="13" t="str">
        <f>IF($J147="","",IF($N147="","DESCRIÇÃO",IF(AND($J147="Serviço",$O147=""),"UNIDADE",IF($T147&lt;=0,"SEM VALOR",IF(AND($Y147&lt;&gt;"",$Q147&gt;$Y147),"ACIMA REF.","")))))</f>
        <v>SEM VALOR</v>
      </c>
      <c r="V147" s="4">
        <f ca="1">IF(OR($A147=0,$A147="S",$A147&gt;CFF!$A$9),"",MAX(V$12:OFFSET(V147,-1,0))+1)</f>
      </c>
      <c r="W147" s="9" t="str">
        <f>IF(AND($J147="Serviço",$M147&lt;&gt;""),IF($L147="",$M147,CONCATENATE($L147,"-",$M147)))</f>
        <v>SINAPI-89171</v>
      </c>
      <c r="X147" s="4">
        <f ca="1">IF(AND(Fonte&lt;&gt;"",Código&lt;&gt;""),MATCH(Fonte&amp;" "&amp;IF(Fonte="sinapi",SUBSTITUTE(SUBSTITUTE(Código,"/00","/"),"/0","/"),Código),INDIRECT("'[Referência "&amp;DATABASE&amp;".xls]Banco'!$a:$a"),0),"X")</f>
        <v>11112</v>
      </c>
      <c r="Y147" s="121">
        <v>62.7</v>
      </c>
      <c r="Z147" s="132">
        <f>ROUND(IF(ISNUMBER(R147),R147,IF(LEFT(R147,3)="BDI",HLOOKUP(R147,DADOS!$T$37:$X$38,2,FALSE),0)),15-11*$X$5)</f>
        <v>0.21</v>
      </c>
      <c r="AA147" s="4"/>
    </row>
    <row r="148" spans="1:27" ht="12.75">
      <c r="A148">
        <f t="shared" si="40"/>
        <v>2</v>
      </c>
      <c r="B148">
        <f t="shared" si="41"/>
        <v>4</v>
      </c>
      <c r="C148">
        <f ca="1" t="shared" si="42"/>
        <v>10</v>
      </c>
      <c r="D148">
        <f ca="1" t="shared" si="43"/>
        <v>7</v>
      </c>
      <c r="E148">
        <f ca="1" t="shared" si="44"/>
        <v>0</v>
      </c>
      <c r="F148">
        <f ca="1" t="shared" si="45"/>
        <v>0</v>
      </c>
      <c r="G148">
        <f ca="1" t="shared" si="46"/>
        <v>0</v>
      </c>
      <c r="H148">
        <f ca="1" t="shared" si="50"/>
        <v>15</v>
      </c>
      <c r="I148">
        <f ca="1" t="shared" si="51"/>
        <v>4</v>
      </c>
      <c r="J148" s="393" t="s">
        <v>100</v>
      </c>
      <c r="K148" s="162" t="str">
        <f t="shared" si="47"/>
        <v>10.7.</v>
      </c>
      <c r="L148" s="394"/>
      <c r="M148" s="394"/>
      <c r="N148" s="396" t="s">
        <v>371</v>
      </c>
      <c r="O148" s="397" t="s">
        <v>106</v>
      </c>
      <c r="P148" s="225">
        <f ca="1">OFFSET(PLQ!$E$12,ROW($P148)-ROW(P$12),0)</f>
        <v>0</v>
      </c>
      <c r="Q148" s="229"/>
      <c r="R148" s="232" t="s">
        <v>7</v>
      </c>
      <c r="S148" s="121">
        <f t="shared" si="37"/>
        <v>0</v>
      </c>
      <c r="T148" s="98">
        <f t="shared" si="38"/>
        <v>0</v>
      </c>
      <c r="U148" s="13" t="str">
        <f t="shared" si="48"/>
        <v>SEM VALOR</v>
      </c>
      <c r="V148" s="4">
        <f ca="1">IF(OR($A148=0,$A148="S",$A148&gt;CFF!$A$9),"",MAX(V$12:OFFSET(V148,-1,0))+1)</f>
        <v>34</v>
      </c>
      <c r="W148" s="9" t="b">
        <f t="shared" si="49"/>
        <v>0</v>
      </c>
      <c r="X148" s="4" t="str">
        <f ca="1" t="shared" si="39"/>
        <v>X</v>
      </c>
      <c r="Y148" s="121">
        <v>0</v>
      </c>
      <c r="Z148" s="132">
        <f>ROUND(IF(ISNUMBER(R148),R148,IF(LEFT(R148,3)="BDI",HLOOKUP(R148,DADOS!$T$37:$X$38,2,FALSE),0)),15-11*$X$5)</f>
        <v>0.21</v>
      </c>
      <c r="AA148" s="4"/>
    </row>
    <row r="149" spans="1:27" ht="25.5">
      <c r="A149" t="str">
        <f t="shared" si="40"/>
        <v>S</v>
      </c>
      <c r="B149">
        <f t="shared" si="41"/>
        <v>0</v>
      </c>
      <c r="C149">
        <f ca="1" t="shared" si="42"/>
        <v>10</v>
      </c>
      <c r="D149">
        <f ca="1" t="shared" si="43"/>
        <v>7</v>
      </c>
      <c r="E149">
        <f ca="1" t="shared" si="44"/>
        <v>0</v>
      </c>
      <c r="F149">
        <f ca="1" t="shared" si="45"/>
        <v>0</v>
      </c>
      <c r="G149">
        <f ca="1" t="shared" si="46"/>
        <v>1</v>
      </c>
      <c r="H149">
        <f ca="1" t="shared" si="50"/>
        <v>0</v>
      </c>
      <c r="I149">
        <f ca="1" t="shared" si="51"/>
        <v>0</v>
      </c>
      <c r="J149" s="393" t="s">
        <v>103</v>
      </c>
      <c r="K149" s="162" t="str">
        <f t="shared" si="47"/>
        <v>10.7.1.</v>
      </c>
      <c r="L149" s="394" t="s">
        <v>233</v>
      </c>
      <c r="M149" s="394" t="s">
        <v>372</v>
      </c>
      <c r="N149" s="396" t="s">
        <v>469</v>
      </c>
      <c r="O149" s="397" t="s">
        <v>479</v>
      </c>
      <c r="P149" s="225">
        <f ca="1">OFFSET(PLQ!$E$12,ROW($P149)-ROW(P$12),0)</f>
        <v>16.03</v>
      </c>
      <c r="Q149" s="229"/>
      <c r="R149" s="232" t="s">
        <v>7</v>
      </c>
      <c r="S149" s="121">
        <f t="shared" si="37"/>
        <v>0</v>
      </c>
      <c r="T149" s="98">
        <f t="shared" si="38"/>
        <v>0</v>
      </c>
      <c r="U149" s="13" t="str">
        <f t="shared" si="48"/>
        <v>SEM VALOR</v>
      </c>
      <c r="V149" s="4">
        <f ca="1">IF(OR($A149=0,$A149="S",$A149&gt;CFF!$A$9),"",MAX(V$12:OFFSET(V149,-1,0))+1)</f>
      </c>
      <c r="W149" s="9" t="str">
        <f t="shared" si="49"/>
        <v>SINAPI-87879</v>
      </c>
      <c r="X149" s="4">
        <f ca="1" t="shared" si="39"/>
        <v>11246</v>
      </c>
      <c r="Y149" s="121">
        <v>5.41</v>
      </c>
      <c r="Z149" s="132">
        <f>ROUND(IF(ISNUMBER(R149),R149,IF(LEFT(R149,3)="BDI",HLOOKUP(R149,DADOS!$T$37:$X$38,2,FALSE),0)),15-11*$X$5)</f>
        <v>0.21</v>
      </c>
      <c r="AA149" s="4"/>
    </row>
    <row r="150" spans="1:27" ht="38.25">
      <c r="A150" t="str">
        <f t="shared" si="40"/>
        <v>S</v>
      </c>
      <c r="B150">
        <f t="shared" si="41"/>
        <v>0</v>
      </c>
      <c r="C150">
        <f ca="1" t="shared" si="42"/>
        <v>10</v>
      </c>
      <c r="D150">
        <f ca="1" t="shared" si="43"/>
        <v>7</v>
      </c>
      <c r="E150">
        <f ca="1" t="shared" si="44"/>
        <v>0</v>
      </c>
      <c r="F150">
        <f ca="1" t="shared" si="45"/>
        <v>0</v>
      </c>
      <c r="G150">
        <f ca="1" t="shared" si="46"/>
        <v>2</v>
      </c>
      <c r="H150">
        <f ca="1" t="shared" si="50"/>
        <v>0</v>
      </c>
      <c r="I150">
        <f ca="1" t="shared" si="51"/>
        <v>0</v>
      </c>
      <c r="J150" s="393" t="s">
        <v>103</v>
      </c>
      <c r="K150" s="162" t="str">
        <f t="shared" si="47"/>
        <v>10.7.2.</v>
      </c>
      <c r="L150" s="394" t="s">
        <v>233</v>
      </c>
      <c r="M150" s="394" t="s">
        <v>373</v>
      </c>
      <c r="N150" s="396" t="s">
        <v>470</v>
      </c>
      <c r="O150" s="397" t="s">
        <v>479</v>
      </c>
      <c r="P150" s="225">
        <f ca="1">OFFSET(PLQ!$E$12,ROW($P150)-ROW(P$12),0)</f>
        <v>16.03</v>
      </c>
      <c r="Q150" s="229"/>
      <c r="R150" s="232" t="s">
        <v>7</v>
      </c>
      <c r="S150" s="121">
        <f t="shared" si="37"/>
        <v>0</v>
      </c>
      <c r="T150" s="98">
        <f t="shared" si="38"/>
        <v>0</v>
      </c>
      <c r="U150" s="13" t="str">
        <f t="shared" si="48"/>
        <v>SEM VALOR</v>
      </c>
      <c r="V150" s="4">
        <f ca="1">IF(OR($A150=0,$A150="S",$A150&gt;CFF!$A$9),"",MAX(V$12:OFFSET(V150,-1,0))+1)</f>
      </c>
      <c r="W150" s="9" t="str">
        <f t="shared" si="49"/>
        <v>SINAPI-87528</v>
      </c>
      <c r="X150" s="4">
        <f ca="1" t="shared" si="39"/>
        <v>11288</v>
      </c>
      <c r="Y150" s="121">
        <v>53.6</v>
      </c>
      <c r="Z150" s="132">
        <f>ROUND(IF(ISNUMBER(R150),R150,IF(LEFT(R150,3)="BDI",HLOOKUP(R150,DADOS!$T$37:$X$38,2,FALSE),0)),15-11*$X$5)</f>
        <v>0.21</v>
      </c>
      <c r="AA150" s="4"/>
    </row>
    <row r="151" spans="1:27" ht="25.5">
      <c r="A151" t="str">
        <f t="shared" si="40"/>
        <v>S</v>
      </c>
      <c r="B151">
        <f t="shared" si="41"/>
        <v>0</v>
      </c>
      <c r="C151">
        <f ca="1" t="shared" si="42"/>
        <v>10</v>
      </c>
      <c r="D151">
        <f ca="1" t="shared" si="43"/>
        <v>7</v>
      </c>
      <c r="E151">
        <f ca="1" t="shared" si="44"/>
        <v>0</v>
      </c>
      <c r="F151">
        <f ca="1" t="shared" si="45"/>
        <v>0</v>
      </c>
      <c r="G151">
        <f ca="1" t="shared" si="46"/>
        <v>3</v>
      </c>
      <c r="H151">
        <f ca="1" t="shared" si="50"/>
        <v>0</v>
      </c>
      <c r="I151">
        <f ca="1" t="shared" si="51"/>
        <v>0</v>
      </c>
      <c r="J151" s="393" t="s">
        <v>103</v>
      </c>
      <c r="K151" s="162" t="str">
        <f t="shared" si="47"/>
        <v>10.7.3.</v>
      </c>
      <c r="L151" s="394" t="s">
        <v>233</v>
      </c>
      <c r="M151" s="394" t="s">
        <v>374</v>
      </c>
      <c r="N151" s="396" t="s">
        <v>471</v>
      </c>
      <c r="O151" s="397" t="s">
        <v>479</v>
      </c>
      <c r="P151" s="225">
        <f ca="1">OFFSET(PLQ!$E$12,ROW($P151)-ROW(P$12),0)</f>
        <v>21.1</v>
      </c>
      <c r="Q151" s="229"/>
      <c r="R151" s="232" t="s">
        <v>7</v>
      </c>
      <c r="S151" s="121">
        <f t="shared" si="37"/>
        <v>0</v>
      </c>
      <c r="T151" s="98">
        <f t="shared" si="38"/>
        <v>0</v>
      </c>
      <c r="U151" s="13" t="str">
        <f t="shared" si="48"/>
        <v>SEM VALOR</v>
      </c>
      <c r="V151" s="4">
        <f ca="1">IF(OR($A151=0,$A151="S",$A151&gt;CFF!$A$9),"",MAX(V$12:OFFSET(V151,-1,0))+1)</f>
      </c>
      <c r="W151" s="9" t="str">
        <f t="shared" si="49"/>
        <v>SINAPI-87273</v>
      </c>
      <c r="X151" s="4">
        <f ca="1" t="shared" si="39"/>
        <v>11466</v>
      </c>
      <c r="Y151" s="121">
        <v>79.76</v>
      </c>
      <c r="Z151" s="132">
        <f>ROUND(IF(ISNUMBER(R151),R151,IF(LEFT(R151,3)="BDI",HLOOKUP(R151,DADOS!$T$37:$X$38,2,FALSE),0)),15-11*$X$5)</f>
        <v>0.21</v>
      </c>
      <c r="AA151" s="4"/>
    </row>
    <row r="152" spans="1:27" ht="12.75">
      <c r="A152">
        <f t="shared" si="40"/>
        <v>2</v>
      </c>
      <c r="B152">
        <f t="shared" si="41"/>
        <v>3</v>
      </c>
      <c r="C152">
        <f ca="1" t="shared" si="42"/>
        <v>10</v>
      </c>
      <c r="D152">
        <f ca="1" t="shared" si="43"/>
        <v>8</v>
      </c>
      <c r="E152">
        <f ca="1" t="shared" si="44"/>
        <v>0</v>
      </c>
      <c r="F152">
        <f ca="1" t="shared" si="45"/>
        <v>0</v>
      </c>
      <c r="G152">
        <f ca="1" t="shared" si="46"/>
        <v>0</v>
      </c>
      <c r="H152">
        <f ca="1" t="shared" si="50"/>
        <v>11</v>
      </c>
      <c r="I152">
        <f ca="1" t="shared" si="51"/>
        <v>3</v>
      </c>
      <c r="J152" s="393" t="s">
        <v>100</v>
      </c>
      <c r="K152" s="162" t="str">
        <f t="shared" si="47"/>
        <v>10.8.</v>
      </c>
      <c r="L152" s="394"/>
      <c r="M152" s="394"/>
      <c r="N152" s="396" t="s">
        <v>375</v>
      </c>
      <c r="O152" s="397" t="s">
        <v>106</v>
      </c>
      <c r="P152" s="225">
        <f ca="1">OFFSET(PLQ!$E$12,ROW($P152)-ROW(P$12),0)</f>
        <v>0</v>
      </c>
      <c r="Q152" s="229"/>
      <c r="R152" s="232" t="s">
        <v>7</v>
      </c>
      <c r="S152" s="121">
        <f t="shared" si="37"/>
        <v>0</v>
      </c>
      <c r="T152" s="98">
        <f t="shared" si="38"/>
        <v>0</v>
      </c>
      <c r="U152" s="13" t="str">
        <f t="shared" si="48"/>
        <v>SEM VALOR</v>
      </c>
      <c r="V152" s="4">
        <f ca="1">IF(OR($A152=0,$A152="S",$A152&gt;CFF!$A$9),"",MAX(V$12:OFFSET(V152,-1,0))+1)</f>
        <v>35</v>
      </c>
      <c r="W152" s="9" t="b">
        <f t="shared" si="49"/>
        <v>0</v>
      </c>
      <c r="X152" s="4" t="str">
        <f ca="1" t="shared" si="39"/>
        <v>X</v>
      </c>
      <c r="Y152" s="121">
        <v>0</v>
      </c>
      <c r="Z152" s="132">
        <f>ROUND(IF(ISNUMBER(R152),R152,IF(LEFT(R152,3)="BDI",HLOOKUP(R152,DADOS!$T$37:$X$38,2,FALSE),0)),15-11*$X$5)</f>
        <v>0.21</v>
      </c>
      <c r="AA152" s="4"/>
    </row>
    <row r="153" spans="1:27" ht="25.5">
      <c r="A153" t="str">
        <f t="shared" si="40"/>
        <v>S</v>
      </c>
      <c r="B153">
        <f t="shared" si="41"/>
        <v>0</v>
      </c>
      <c r="C153">
        <f ca="1" t="shared" si="42"/>
        <v>10</v>
      </c>
      <c r="D153">
        <f ca="1" t="shared" si="43"/>
        <v>8</v>
      </c>
      <c r="E153">
        <f ca="1" t="shared" si="44"/>
        <v>0</v>
      </c>
      <c r="F153">
        <f ca="1" t="shared" si="45"/>
        <v>0</v>
      </c>
      <c r="G153">
        <f ca="1" t="shared" si="46"/>
        <v>1</v>
      </c>
      <c r="H153">
        <f ca="1" t="shared" si="50"/>
        <v>0</v>
      </c>
      <c r="I153">
        <f ca="1" t="shared" si="51"/>
        <v>0</v>
      </c>
      <c r="J153" s="393" t="s">
        <v>103</v>
      </c>
      <c r="K153" s="162" t="str">
        <f t="shared" si="47"/>
        <v>10.8.1.</v>
      </c>
      <c r="L153" s="394" t="s">
        <v>233</v>
      </c>
      <c r="M153" s="394" t="s">
        <v>297</v>
      </c>
      <c r="N153" s="396" t="s">
        <v>409</v>
      </c>
      <c r="O153" s="397" t="s">
        <v>479</v>
      </c>
      <c r="P153" s="225">
        <f ca="1">OFFSET(PLQ!$E$12,ROW($P153)-ROW(P$12),0)</f>
        <v>13.54</v>
      </c>
      <c r="Q153" s="229"/>
      <c r="R153" s="232" t="s">
        <v>7</v>
      </c>
      <c r="S153" s="121">
        <f t="shared" si="37"/>
        <v>0</v>
      </c>
      <c r="T153" s="98">
        <f t="shared" si="38"/>
        <v>0</v>
      </c>
      <c r="U153" s="13" t="str">
        <f t="shared" si="48"/>
        <v>SEM VALOR</v>
      </c>
      <c r="V153" s="4">
        <f ca="1">IF(OR($A153=0,$A153="S",$A153&gt;CFF!$A$9),"",MAX(V$12:OFFSET(V153,-1,0))+1)</f>
      </c>
      <c r="W153" s="9" t="str">
        <f t="shared" si="49"/>
        <v>SINAPI-87904</v>
      </c>
      <c r="X153" s="4">
        <f ca="1" t="shared" si="39"/>
        <v>11265</v>
      </c>
      <c r="Y153" s="121">
        <v>10.03</v>
      </c>
      <c r="Z153" s="132">
        <f>ROUND(IF(ISNUMBER(R153),R153,IF(LEFT(R153,3)="BDI",HLOOKUP(R153,DADOS!$T$37:$X$38,2,FALSE),0)),15-11*$X$5)</f>
        <v>0.21</v>
      </c>
      <c r="AA153" s="4"/>
    </row>
    <row r="154" spans="1:27" ht="38.25">
      <c r="A154" t="str">
        <f t="shared" si="40"/>
        <v>S</v>
      </c>
      <c r="B154">
        <f t="shared" si="41"/>
        <v>0</v>
      </c>
      <c r="C154">
        <f ca="1" t="shared" si="42"/>
        <v>10</v>
      </c>
      <c r="D154">
        <f ca="1" t="shared" si="43"/>
        <v>8</v>
      </c>
      <c r="E154">
        <f ca="1" t="shared" si="44"/>
        <v>0</v>
      </c>
      <c r="F154">
        <f ca="1" t="shared" si="45"/>
        <v>0</v>
      </c>
      <c r="G154">
        <f ca="1" t="shared" si="46"/>
        <v>2</v>
      </c>
      <c r="H154">
        <f ca="1" t="shared" si="50"/>
        <v>0</v>
      </c>
      <c r="I154">
        <f ca="1" t="shared" si="51"/>
        <v>0</v>
      </c>
      <c r="J154" s="393" t="s">
        <v>103</v>
      </c>
      <c r="K154" s="162" t="str">
        <f t="shared" si="47"/>
        <v>10.8.2.</v>
      </c>
      <c r="L154" s="394" t="s">
        <v>233</v>
      </c>
      <c r="M154" s="394" t="s">
        <v>298</v>
      </c>
      <c r="N154" s="396" t="s">
        <v>410</v>
      </c>
      <c r="O154" s="397" t="s">
        <v>479</v>
      </c>
      <c r="P154" s="225">
        <f ca="1">OFFSET(PLQ!$E$12,ROW($P154)-ROW(P$12),0)</f>
        <v>13.54</v>
      </c>
      <c r="Q154" s="229"/>
      <c r="R154" s="232" t="s">
        <v>7</v>
      </c>
      <c r="S154" s="121">
        <f t="shared" si="37"/>
        <v>0</v>
      </c>
      <c r="T154" s="98">
        <f t="shared" si="38"/>
        <v>0</v>
      </c>
      <c r="U154" s="13" t="str">
        <f t="shared" si="48"/>
        <v>SEM VALOR</v>
      </c>
      <c r="V154" s="4">
        <f ca="1">IF(OR($A154=0,$A154="S",$A154&gt;CFF!$A$9),"",MAX(V$12:OFFSET(V154,-1,0))+1)</f>
      </c>
      <c r="W154" s="9" t="str">
        <f t="shared" si="49"/>
        <v>SINAPI-87775</v>
      </c>
      <c r="X154" s="4">
        <f ca="1" t="shared" si="39"/>
        <v>11313</v>
      </c>
      <c r="Y154" s="121">
        <v>64.05</v>
      </c>
      <c r="Z154" s="132">
        <f>ROUND(IF(ISNUMBER(R154),R154,IF(LEFT(R154,3)="BDI",HLOOKUP(R154,DADOS!$T$37:$X$38,2,FALSE),0)),15-11*$X$5)</f>
        <v>0.21</v>
      </c>
      <c r="AA154" s="4"/>
    </row>
    <row r="155" spans="1:27" ht="12.75">
      <c r="A155">
        <f t="shared" si="40"/>
        <v>2</v>
      </c>
      <c r="B155">
        <f t="shared" si="41"/>
        <v>3</v>
      </c>
      <c r="C155">
        <f ca="1" t="shared" si="42"/>
        <v>10</v>
      </c>
      <c r="D155">
        <f ca="1" t="shared" si="43"/>
        <v>9</v>
      </c>
      <c r="E155">
        <f ca="1" t="shared" si="44"/>
        <v>0</v>
      </c>
      <c r="F155">
        <f ca="1" t="shared" si="45"/>
        <v>0</v>
      </c>
      <c r="G155">
        <f ca="1" t="shared" si="46"/>
        <v>0</v>
      </c>
      <c r="H155">
        <f ca="1" t="shared" si="50"/>
        <v>8</v>
      </c>
      <c r="I155">
        <f ca="1" t="shared" si="51"/>
        <v>3</v>
      </c>
      <c r="J155" s="393" t="s">
        <v>100</v>
      </c>
      <c r="K155" s="162" t="str">
        <f t="shared" si="47"/>
        <v>10.9.</v>
      </c>
      <c r="L155" s="394"/>
      <c r="M155" s="394"/>
      <c r="N155" s="396" t="s">
        <v>376</v>
      </c>
      <c r="O155" s="397" t="s">
        <v>106</v>
      </c>
      <c r="P155" s="225">
        <f ca="1">OFFSET(PLQ!$E$12,ROW($P155)-ROW(P$12),0)</f>
        <v>0</v>
      </c>
      <c r="Q155" s="229"/>
      <c r="R155" s="232" t="s">
        <v>7</v>
      </c>
      <c r="S155" s="121">
        <f t="shared" si="37"/>
        <v>0</v>
      </c>
      <c r="T155" s="98">
        <f t="shared" si="38"/>
        <v>0</v>
      </c>
      <c r="U155" s="13" t="str">
        <f t="shared" si="48"/>
        <v>SEM VALOR</v>
      </c>
      <c r="V155" s="4">
        <f ca="1">IF(OR($A155=0,$A155="S",$A155&gt;CFF!$A$9),"",MAX(V$12:OFFSET(V155,-1,0))+1)</f>
        <v>36</v>
      </c>
      <c r="W155" s="9" t="b">
        <f t="shared" si="49"/>
        <v>0</v>
      </c>
      <c r="X155" s="4" t="str">
        <f ca="1" t="shared" si="39"/>
        <v>X</v>
      </c>
      <c r="Y155" s="121">
        <v>0</v>
      </c>
      <c r="Z155" s="132">
        <f>ROUND(IF(ISNUMBER(R155),R155,IF(LEFT(R155,3)="BDI",HLOOKUP(R155,DADOS!$T$37:$X$38,2,FALSE),0)),15-11*$X$5)</f>
        <v>0.21</v>
      </c>
      <c r="AA155" s="4"/>
    </row>
    <row r="156" spans="1:27" ht="12.75">
      <c r="A156" t="str">
        <f t="shared" si="40"/>
        <v>S</v>
      </c>
      <c r="B156">
        <f t="shared" si="41"/>
        <v>0</v>
      </c>
      <c r="C156">
        <f ca="1" t="shared" si="42"/>
        <v>10</v>
      </c>
      <c r="D156">
        <f ca="1" t="shared" si="43"/>
        <v>9</v>
      </c>
      <c r="E156">
        <f ca="1" t="shared" si="44"/>
        <v>0</v>
      </c>
      <c r="F156">
        <f ca="1" t="shared" si="45"/>
        <v>0</v>
      </c>
      <c r="G156">
        <f ca="1" t="shared" si="46"/>
        <v>1</v>
      </c>
      <c r="H156">
        <f ca="1" t="shared" si="50"/>
        <v>0</v>
      </c>
      <c r="I156">
        <f ca="1" t="shared" si="51"/>
        <v>0</v>
      </c>
      <c r="J156" s="393" t="s">
        <v>103</v>
      </c>
      <c r="K156" s="162" t="str">
        <f t="shared" si="47"/>
        <v>10.9.1.</v>
      </c>
      <c r="L156" s="394" t="s">
        <v>233</v>
      </c>
      <c r="M156" s="394" t="s">
        <v>377</v>
      </c>
      <c r="N156" s="396" t="s">
        <v>472</v>
      </c>
      <c r="O156" s="397" t="s">
        <v>479</v>
      </c>
      <c r="P156" s="225">
        <f ca="1">OFFSET(PLQ!$E$12,ROW($P156)-ROW(P$12),0)</f>
        <v>13.54</v>
      </c>
      <c r="Q156" s="229"/>
      <c r="R156" s="232" t="s">
        <v>7</v>
      </c>
      <c r="S156" s="121">
        <f t="shared" si="37"/>
        <v>0</v>
      </c>
      <c r="T156" s="98">
        <f t="shared" si="38"/>
        <v>0</v>
      </c>
      <c r="U156" s="13" t="str">
        <f t="shared" si="48"/>
        <v>SEM VALOR</v>
      </c>
      <c r="V156" s="4">
        <f ca="1">IF(OR($A156=0,$A156="S",$A156&gt;CFF!$A$9),"",MAX(V$12:OFFSET(V156,-1,0))+1)</f>
      </c>
      <c r="W156" s="9" t="str">
        <f t="shared" si="49"/>
        <v>SINAPI-88485</v>
      </c>
      <c r="X156" s="4">
        <f ca="1" t="shared" si="39"/>
        <v>10973</v>
      </c>
      <c r="Y156" s="121">
        <v>4.54</v>
      </c>
      <c r="Z156" s="132">
        <f>ROUND(IF(ISNUMBER(R156),R156,IF(LEFT(R156,3)="BDI",HLOOKUP(R156,DADOS!$T$37:$X$38,2,FALSE),0)),15-11*$X$5)</f>
        <v>0.21</v>
      </c>
      <c r="AA156" s="4"/>
    </row>
    <row r="157" spans="1:27" ht="25.5">
      <c r="A157" t="str">
        <f t="shared" si="40"/>
        <v>S</v>
      </c>
      <c r="B157">
        <f t="shared" si="41"/>
        <v>0</v>
      </c>
      <c r="C157">
        <f ca="1" t="shared" si="42"/>
        <v>10</v>
      </c>
      <c r="D157">
        <f ca="1" t="shared" si="43"/>
        <v>9</v>
      </c>
      <c r="E157">
        <f ca="1" t="shared" si="44"/>
        <v>0</v>
      </c>
      <c r="F157">
        <f ca="1" t="shared" si="45"/>
        <v>0</v>
      </c>
      <c r="G157">
        <f ca="1" t="shared" si="46"/>
        <v>2</v>
      </c>
      <c r="H157">
        <f ca="1" t="shared" si="50"/>
        <v>0</v>
      </c>
      <c r="I157">
        <f ca="1" t="shared" si="51"/>
        <v>0</v>
      </c>
      <c r="J157" s="393" t="s">
        <v>103</v>
      </c>
      <c r="K157" s="162" t="str">
        <f t="shared" si="47"/>
        <v>10.9.2.</v>
      </c>
      <c r="L157" s="394" t="s">
        <v>233</v>
      </c>
      <c r="M157" s="394" t="s">
        <v>378</v>
      </c>
      <c r="N157" s="396" t="s">
        <v>473</v>
      </c>
      <c r="O157" s="397" t="s">
        <v>479</v>
      </c>
      <c r="P157" s="225">
        <f ca="1">OFFSET(PLQ!$E$12,ROW($P157)-ROW(P$12),0)</f>
        <v>13.54</v>
      </c>
      <c r="Q157" s="229"/>
      <c r="R157" s="232" t="s">
        <v>7</v>
      </c>
      <c r="S157" s="121">
        <f t="shared" si="37"/>
        <v>0</v>
      </c>
      <c r="T157" s="98">
        <f t="shared" si="38"/>
        <v>0</v>
      </c>
      <c r="U157" s="13" t="str">
        <f t="shared" si="48"/>
        <v>SEM VALOR</v>
      </c>
      <c r="V157" s="4">
        <f ca="1">IF(OR($A157=0,$A157="S",$A157&gt;CFF!$A$9),"",MAX(V$12:OFFSET(V157,-1,0))+1)</f>
      </c>
      <c r="W157" s="9" t="str">
        <f t="shared" si="49"/>
        <v>SINAPI-88431</v>
      </c>
      <c r="X157" s="4">
        <f ca="1" t="shared" si="39"/>
        <v>10970</v>
      </c>
      <c r="Y157" s="121">
        <v>30.32</v>
      </c>
      <c r="Z157" s="132">
        <f>ROUND(IF(ISNUMBER(R157),R157,IF(LEFT(R157,3)="BDI",HLOOKUP(R157,DADOS!$T$37:$X$38,2,FALSE),0)),15-11*$X$5)</f>
        <v>0.21</v>
      </c>
      <c r="AA157" s="4"/>
    </row>
    <row r="158" spans="1:27" ht="12.75">
      <c r="A158">
        <f t="shared" si="40"/>
        <v>2</v>
      </c>
      <c r="B158">
        <f t="shared" si="41"/>
        <v>3</v>
      </c>
      <c r="C158">
        <f ca="1" t="shared" si="42"/>
        <v>10</v>
      </c>
      <c r="D158">
        <f ca="1" t="shared" si="43"/>
        <v>10</v>
      </c>
      <c r="E158">
        <f ca="1" t="shared" si="44"/>
        <v>0</v>
      </c>
      <c r="F158">
        <f ca="1" t="shared" si="45"/>
        <v>0</v>
      </c>
      <c r="G158">
        <f ca="1" t="shared" si="46"/>
        <v>0</v>
      </c>
      <c r="H158">
        <f ca="1" t="shared" si="50"/>
        <v>5</v>
      </c>
      <c r="I158">
        <f ca="1" t="shared" si="51"/>
        <v>3</v>
      </c>
      <c r="J158" s="393" t="s">
        <v>100</v>
      </c>
      <c r="K158" s="162" t="str">
        <f t="shared" si="47"/>
        <v>10.10.</v>
      </c>
      <c r="L158" s="394"/>
      <c r="M158" s="394"/>
      <c r="N158" s="396" t="s">
        <v>379</v>
      </c>
      <c r="O158" s="397" t="s">
        <v>106</v>
      </c>
      <c r="P158" s="225">
        <f ca="1">OFFSET(PLQ!$E$12,ROW($P158)-ROW(P$12),0)</f>
        <v>0</v>
      </c>
      <c r="Q158" s="229"/>
      <c r="R158" s="232" t="s">
        <v>7</v>
      </c>
      <c r="S158" s="121">
        <f t="shared" si="37"/>
        <v>0</v>
      </c>
      <c r="T158" s="98">
        <f t="shared" si="38"/>
        <v>0</v>
      </c>
      <c r="U158" s="13" t="str">
        <f t="shared" si="48"/>
        <v>SEM VALOR</v>
      </c>
      <c r="V158" s="4">
        <f ca="1">IF(OR($A158=0,$A158="S",$A158&gt;CFF!$A$9),"",MAX(V$12:OFFSET(V158,-1,0))+1)</f>
        <v>37</v>
      </c>
      <c r="W158" s="9" t="b">
        <f t="shared" si="49"/>
        <v>0</v>
      </c>
      <c r="X158" s="4" t="str">
        <f ca="1" t="shared" si="39"/>
        <v>X</v>
      </c>
      <c r="Y158" s="121">
        <v>0</v>
      </c>
      <c r="Z158" s="132">
        <f>ROUND(IF(ISNUMBER(R158),R158,IF(LEFT(R158,3)="BDI",HLOOKUP(R158,DADOS!$T$37:$X$38,2,FALSE),0)),15-11*$X$5)</f>
        <v>0.21</v>
      </c>
      <c r="AA158" s="4"/>
    </row>
    <row r="159" spans="1:27" ht="25.5">
      <c r="A159" t="str">
        <f t="shared" si="40"/>
        <v>S</v>
      </c>
      <c r="B159">
        <f t="shared" si="41"/>
        <v>0</v>
      </c>
      <c r="C159">
        <f ca="1" t="shared" si="42"/>
        <v>10</v>
      </c>
      <c r="D159">
        <f ca="1" t="shared" si="43"/>
        <v>10</v>
      </c>
      <c r="E159">
        <f ca="1" t="shared" si="44"/>
        <v>0</v>
      </c>
      <c r="F159">
        <f ca="1" t="shared" si="45"/>
        <v>0</v>
      </c>
      <c r="G159">
        <f ca="1" t="shared" si="46"/>
        <v>1</v>
      </c>
      <c r="H159">
        <f ca="1" t="shared" si="50"/>
        <v>0</v>
      </c>
      <c r="I159">
        <f ca="1" t="shared" si="51"/>
        <v>0</v>
      </c>
      <c r="J159" s="393" t="s">
        <v>103</v>
      </c>
      <c r="K159" s="162" t="str">
        <f t="shared" si="47"/>
        <v>10.10.1.</v>
      </c>
      <c r="L159" s="394" t="s">
        <v>233</v>
      </c>
      <c r="M159" s="394" t="s">
        <v>304</v>
      </c>
      <c r="N159" s="396" t="s">
        <v>460</v>
      </c>
      <c r="O159" s="397" t="s">
        <v>479</v>
      </c>
      <c r="P159" s="225">
        <f ca="1">OFFSET(PLQ!$E$12,ROW($P159)-ROW(P$12),0)</f>
        <v>4.44</v>
      </c>
      <c r="Q159" s="229"/>
      <c r="R159" s="232" t="s">
        <v>7</v>
      </c>
      <c r="S159" s="121">
        <f t="shared" si="37"/>
        <v>0</v>
      </c>
      <c r="T159" s="98">
        <f t="shared" si="38"/>
        <v>0</v>
      </c>
      <c r="U159" s="13" t="str">
        <f t="shared" si="48"/>
        <v>SEM VALOR</v>
      </c>
      <c r="V159" s="4">
        <f ca="1">IF(OR($A159=0,$A159="S",$A159&gt;CFF!$A$9),"",MAX(V$12:OFFSET(V159,-1,0))+1)</f>
      </c>
      <c r="W159" s="9" t="str">
        <f t="shared" si="49"/>
        <v>SINAPI-88497</v>
      </c>
      <c r="X159" s="4">
        <f ca="1" t="shared" si="39"/>
        <v>10979</v>
      </c>
      <c r="Y159" s="121">
        <v>23.05</v>
      </c>
      <c r="Z159" s="132">
        <f>ROUND(IF(ISNUMBER(R159),R159,IF(LEFT(R159,3)="BDI",HLOOKUP(R159,DADOS!$T$37:$X$38,2,FALSE),0)),15-11*$X$5)</f>
        <v>0.21</v>
      </c>
      <c r="AA159" s="4"/>
    </row>
    <row r="160" spans="1:27" ht="12.75">
      <c r="A160" t="str">
        <f t="shared" si="40"/>
        <v>S</v>
      </c>
      <c r="B160">
        <f t="shared" si="41"/>
        <v>0</v>
      </c>
      <c r="C160">
        <f ca="1" t="shared" si="42"/>
        <v>10</v>
      </c>
      <c r="D160">
        <f ca="1" t="shared" si="43"/>
        <v>10</v>
      </c>
      <c r="E160">
        <f ca="1" t="shared" si="44"/>
        <v>0</v>
      </c>
      <c r="F160">
        <f ca="1" t="shared" si="45"/>
        <v>0</v>
      </c>
      <c r="G160">
        <f ca="1" t="shared" si="46"/>
        <v>2</v>
      </c>
      <c r="H160">
        <f ca="1" t="shared" si="50"/>
        <v>0</v>
      </c>
      <c r="I160">
        <f ca="1" t="shared" si="51"/>
        <v>0</v>
      </c>
      <c r="J160" s="393" t="s">
        <v>103</v>
      </c>
      <c r="K160" s="162" t="str">
        <f t="shared" si="47"/>
        <v>10.10.2.</v>
      </c>
      <c r="L160" s="394" t="s">
        <v>233</v>
      </c>
      <c r="M160" s="394" t="s">
        <v>327</v>
      </c>
      <c r="N160" s="396" t="s">
        <v>464</v>
      </c>
      <c r="O160" s="397" t="s">
        <v>479</v>
      </c>
      <c r="P160" s="225">
        <f ca="1">OFFSET(PLQ!$E$12,ROW($P160)-ROW(P$12),0)</f>
        <v>4.44</v>
      </c>
      <c r="Q160" s="229"/>
      <c r="R160" s="232" t="s">
        <v>7</v>
      </c>
      <c r="S160" s="121">
        <f t="shared" si="37"/>
        <v>0</v>
      </c>
      <c r="T160" s="98">
        <f t="shared" si="38"/>
        <v>0</v>
      </c>
      <c r="U160" s="13" t="str">
        <f t="shared" si="48"/>
        <v>SEM VALOR</v>
      </c>
      <c r="V160" s="4">
        <f ca="1">IF(OR($A160=0,$A160="S",$A160&gt;CFF!$A$9),"",MAX(V$12:OFFSET(V160,-1,0))+1)</f>
      </c>
      <c r="W160" s="9" t="str">
        <f t="shared" si="49"/>
        <v>SINAPI-88488</v>
      </c>
      <c r="X160" s="4">
        <f ca="1" t="shared" si="39"/>
        <v>10974</v>
      </c>
      <c r="Y160" s="121">
        <v>18.6</v>
      </c>
      <c r="Z160" s="132">
        <f>ROUND(IF(ISNUMBER(R160),R160,IF(LEFT(R160,3)="BDI",HLOOKUP(R160,DADOS!$T$37:$X$38,2,FALSE),0)),15-11*$X$5)</f>
        <v>0.21</v>
      </c>
      <c r="AA160" s="4"/>
    </row>
    <row r="161" spans="1:27" ht="12.75">
      <c r="A161">
        <f t="shared" si="40"/>
        <v>2</v>
      </c>
      <c r="B161">
        <f t="shared" si="41"/>
        <v>2</v>
      </c>
      <c r="C161">
        <f ca="1" t="shared" si="42"/>
        <v>10</v>
      </c>
      <c r="D161">
        <f ca="1" t="shared" si="43"/>
        <v>11</v>
      </c>
      <c r="E161">
        <f ca="1" t="shared" si="44"/>
        <v>0</v>
      </c>
      <c r="F161">
        <f ca="1" t="shared" si="45"/>
        <v>0</v>
      </c>
      <c r="G161">
        <f ca="1" t="shared" si="46"/>
        <v>0</v>
      </c>
      <c r="H161">
        <f ca="1" t="shared" si="50"/>
        <v>2</v>
      </c>
      <c r="I161" t="e">
        <f ca="1" t="shared" si="51"/>
        <v>#N/A</v>
      </c>
      <c r="J161" s="393" t="s">
        <v>100</v>
      </c>
      <c r="K161" s="162" t="str">
        <f t="shared" si="47"/>
        <v>10.11.</v>
      </c>
      <c r="L161" s="394"/>
      <c r="M161" s="394"/>
      <c r="N161" s="396" t="s">
        <v>380</v>
      </c>
      <c r="O161" s="397" t="s">
        <v>106</v>
      </c>
      <c r="P161" s="225">
        <f ca="1">OFFSET(PLQ!$E$12,ROW($P161)-ROW(P$12),0)</f>
        <v>0</v>
      </c>
      <c r="Q161" s="229"/>
      <c r="R161" s="232" t="s">
        <v>7</v>
      </c>
      <c r="S161" s="121">
        <f t="shared" si="37"/>
        <v>0</v>
      </c>
      <c r="T161" s="98">
        <f t="shared" si="38"/>
        <v>0</v>
      </c>
      <c r="U161" s="13" t="str">
        <f t="shared" si="48"/>
        <v>SEM VALOR</v>
      </c>
      <c r="V161" s="4">
        <f ca="1">IF(OR($A161=0,$A161="S",$A161&gt;CFF!$A$9),"",MAX(V$12:OFFSET(V161,-1,0))+1)</f>
        <v>38</v>
      </c>
      <c r="W161" s="9" t="b">
        <f t="shared" si="49"/>
        <v>0</v>
      </c>
      <c r="X161" s="4" t="str">
        <f ca="1" t="shared" si="39"/>
        <v>X</v>
      </c>
      <c r="Y161" s="121">
        <v>0</v>
      </c>
      <c r="Z161" s="132">
        <f>ROUND(IF(ISNUMBER(R161),R161,IF(LEFT(R161,3)="BDI",HLOOKUP(R161,DADOS!$T$37:$X$38,2,FALSE),0)),15-11*$X$5)</f>
        <v>0.21</v>
      </c>
      <c r="AA161" s="4"/>
    </row>
    <row r="162" spans="1:27" ht="25.5">
      <c r="A162" t="str">
        <f t="shared" si="40"/>
        <v>S</v>
      </c>
      <c r="B162">
        <f t="shared" si="41"/>
        <v>0</v>
      </c>
      <c r="C162">
        <f ca="1" t="shared" si="42"/>
        <v>10</v>
      </c>
      <c r="D162">
        <f ca="1" t="shared" si="43"/>
        <v>11</v>
      </c>
      <c r="E162">
        <f ca="1" t="shared" si="44"/>
        <v>0</v>
      </c>
      <c r="F162">
        <f ca="1" t="shared" si="45"/>
        <v>0</v>
      </c>
      <c r="G162">
        <f ca="1" t="shared" si="46"/>
        <v>1</v>
      </c>
      <c r="H162">
        <f ca="1" t="shared" si="50"/>
        <v>0</v>
      </c>
      <c r="I162">
        <f ca="1" t="shared" si="51"/>
        <v>0</v>
      </c>
      <c r="J162" s="393" t="s">
        <v>103</v>
      </c>
      <c r="K162" s="162" t="str">
        <f t="shared" si="47"/>
        <v>10.11.1.</v>
      </c>
      <c r="L162" s="394" t="s">
        <v>233</v>
      </c>
      <c r="M162" s="394" t="s">
        <v>381</v>
      </c>
      <c r="N162" s="396" t="s">
        <v>474</v>
      </c>
      <c r="O162" s="397" t="s">
        <v>479</v>
      </c>
      <c r="P162" s="225">
        <f ca="1">OFFSET(PLQ!$E$12,ROW($P162)-ROW(P$12),0)</f>
        <v>8.19</v>
      </c>
      <c r="Q162" s="229"/>
      <c r="R162" s="232" t="s">
        <v>7</v>
      </c>
      <c r="S162" s="121">
        <f t="shared" si="37"/>
        <v>0</v>
      </c>
      <c r="T162" s="98">
        <f t="shared" si="38"/>
        <v>0</v>
      </c>
      <c r="U162" s="13" t="str">
        <f t="shared" si="48"/>
        <v>SEM VALOR</v>
      </c>
      <c r="V162" s="4">
        <f ca="1">IF(OR($A162=0,$A162="S",$A162&gt;CFF!$A$9),"",MAX(V$12:OFFSET(V162,-1,0))+1)</f>
      </c>
      <c r="W162" s="9" t="str">
        <f t="shared" si="49"/>
        <v>SINAPI-91341</v>
      </c>
      <c r="X162" s="4">
        <f ca="1" t="shared" si="39"/>
        <v>7019</v>
      </c>
      <c r="Y162" s="121">
        <v>1003.79</v>
      </c>
      <c r="Z162" s="132">
        <f>ROUND(IF(ISNUMBER(R162),R162,IF(LEFT(R162,3)="BDI",HLOOKUP(R162,DADOS!$T$37:$X$38,2,FALSE),0)),15-11*$X$5)</f>
        <v>0.21</v>
      </c>
      <c r="AA162" s="4"/>
    </row>
    <row r="163" spans="1:27" ht="12.75">
      <c r="A163">
        <f t="shared" si="40"/>
        <v>1</v>
      </c>
      <c r="B163">
        <f t="shared" si="41"/>
        <v>4</v>
      </c>
      <c r="C163">
        <f ca="1" t="shared" si="42"/>
        <v>11</v>
      </c>
      <c r="D163">
        <f ca="1" t="shared" si="43"/>
        <v>0</v>
      </c>
      <c r="E163">
        <f ca="1" t="shared" si="44"/>
        <v>0</v>
      </c>
      <c r="F163">
        <f ca="1" t="shared" si="45"/>
        <v>0</v>
      </c>
      <c r="G163">
        <f ca="1" t="shared" si="46"/>
        <v>0</v>
      </c>
      <c r="H163">
        <f ca="1" t="shared" si="50"/>
        <v>4</v>
      </c>
      <c r="I163" t="e">
        <f ca="1" t="shared" si="51"/>
        <v>#N/A</v>
      </c>
      <c r="J163" s="393" t="s">
        <v>99</v>
      </c>
      <c r="K163" s="162" t="str">
        <f t="shared" si="47"/>
        <v>11.</v>
      </c>
      <c r="L163" s="394"/>
      <c r="M163" s="394"/>
      <c r="N163" s="396" t="s">
        <v>359</v>
      </c>
      <c r="O163" s="397" t="s">
        <v>106</v>
      </c>
      <c r="P163" s="225">
        <f ca="1">OFFSET(PLQ!$E$12,ROW($P163)-ROW(P$12),0)</f>
        <v>0</v>
      </c>
      <c r="Q163" s="229"/>
      <c r="R163" s="232" t="s">
        <v>7</v>
      </c>
      <c r="S163" s="121">
        <f t="shared" si="37"/>
        <v>0</v>
      </c>
      <c r="T163" s="98">
        <f t="shared" si="38"/>
        <v>0</v>
      </c>
      <c r="U163" s="13" t="str">
        <f t="shared" si="48"/>
        <v>SEM VALOR</v>
      </c>
      <c r="V163" s="4">
        <f ca="1">IF(OR($A163=0,$A163="S",$A163&gt;CFF!$A$9),"",MAX(V$12:OFFSET(V163,-1,0))+1)</f>
        <v>39</v>
      </c>
      <c r="W163" s="9" t="b">
        <f t="shared" si="49"/>
        <v>0</v>
      </c>
      <c r="X163" s="4" t="str">
        <f ca="1" t="shared" si="39"/>
        <v>X</v>
      </c>
      <c r="Y163" s="121">
        <v>0</v>
      </c>
      <c r="Z163" s="132">
        <f>ROUND(IF(ISNUMBER(R163),R163,IF(LEFT(R163,3)="BDI",HLOOKUP(R163,DADOS!$T$37:$X$38,2,FALSE),0)),15-11*$X$5)</f>
        <v>0.21</v>
      </c>
      <c r="AA163" s="4"/>
    </row>
    <row r="164" spans="1:27" ht="12.75">
      <c r="A164" t="str">
        <f t="shared" si="40"/>
        <v>S</v>
      </c>
      <c r="B164">
        <f t="shared" si="41"/>
        <v>0</v>
      </c>
      <c r="C164">
        <f ca="1" t="shared" si="42"/>
        <v>11</v>
      </c>
      <c r="D164">
        <f ca="1" t="shared" si="43"/>
        <v>0</v>
      </c>
      <c r="E164">
        <f ca="1" t="shared" si="44"/>
        <v>0</v>
      </c>
      <c r="F164">
        <f ca="1" t="shared" si="45"/>
        <v>0</v>
      </c>
      <c r="G164">
        <f ca="1" t="shared" si="46"/>
        <v>1</v>
      </c>
      <c r="H164">
        <f ca="1" t="shared" si="50"/>
        <v>0</v>
      </c>
      <c r="I164">
        <f ca="1" t="shared" si="51"/>
        <v>0</v>
      </c>
      <c r="J164" s="393" t="s">
        <v>103</v>
      </c>
      <c r="K164" s="162" t="str">
        <f t="shared" si="47"/>
        <v>11.0.1.</v>
      </c>
      <c r="L164" s="394" t="s">
        <v>233</v>
      </c>
      <c r="M164" s="394" t="s">
        <v>360</v>
      </c>
      <c r="N164" s="396" t="s">
        <v>475</v>
      </c>
      <c r="O164" s="397" t="s">
        <v>479</v>
      </c>
      <c r="P164" s="225">
        <f ca="1">OFFSET(PLQ!$E$12,ROW($P164)-ROW(P$12),0)</f>
        <v>35.16</v>
      </c>
      <c r="Q164" s="229"/>
      <c r="R164" s="232" t="s">
        <v>7</v>
      </c>
      <c r="S164" s="121">
        <f t="shared" si="37"/>
        <v>0</v>
      </c>
      <c r="T164" s="98">
        <f t="shared" si="38"/>
        <v>0</v>
      </c>
      <c r="U164" s="13" t="str">
        <f t="shared" si="48"/>
        <v>SEM VALOR</v>
      </c>
      <c r="V164" s="4">
        <f ca="1">IF(OR($A164=0,$A164="S",$A164&gt;CFF!$A$9),"",MAX(V$12:OFFSET(V164,-1,0))+1)</f>
      </c>
      <c r="W164" s="9" t="str">
        <f t="shared" si="49"/>
        <v>SINAPI-99806</v>
      </c>
      <c r="X164" s="4">
        <f ca="1" t="shared" si="39"/>
        <v>11766</v>
      </c>
      <c r="Y164" s="121">
        <v>1.05</v>
      </c>
      <c r="Z164" s="132">
        <f>ROUND(IF(ISNUMBER(R164),R164,IF(LEFT(R164,3)="BDI",HLOOKUP(R164,DADOS!$T$37:$X$38,2,FALSE),0)),15-11*$X$5)</f>
        <v>0.21</v>
      </c>
      <c r="AA164" s="4"/>
    </row>
    <row r="165" spans="1:27" ht="12.75">
      <c r="A165" t="str">
        <f t="shared" si="40"/>
        <v>S</v>
      </c>
      <c r="B165">
        <f t="shared" si="41"/>
        <v>0</v>
      </c>
      <c r="C165">
        <f ca="1" t="shared" si="42"/>
        <v>11</v>
      </c>
      <c r="D165">
        <f ca="1" t="shared" si="43"/>
        <v>0</v>
      </c>
      <c r="E165">
        <f ca="1" t="shared" si="44"/>
        <v>0</v>
      </c>
      <c r="F165">
        <f ca="1" t="shared" si="45"/>
        <v>0</v>
      </c>
      <c r="G165">
        <f ca="1" t="shared" si="46"/>
        <v>2</v>
      </c>
      <c r="H165">
        <f ca="1" t="shared" si="50"/>
        <v>0</v>
      </c>
      <c r="I165">
        <f ca="1" t="shared" si="51"/>
        <v>0</v>
      </c>
      <c r="J165" s="393" t="s">
        <v>103</v>
      </c>
      <c r="K165" s="162" t="str">
        <f t="shared" si="47"/>
        <v>11.0.2.</v>
      </c>
      <c r="L165" s="394" t="s">
        <v>233</v>
      </c>
      <c r="M165" s="394" t="s">
        <v>361</v>
      </c>
      <c r="N165" s="396" t="s">
        <v>476</v>
      </c>
      <c r="O165" s="397" t="s">
        <v>479</v>
      </c>
      <c r="P165" s="225">
        <f ca="1">OFFSET(PLQ!$E$12,ROW($P165)-ROW(P$12),0)</f>
        <v>55.2</v>
      </c>
      <c r="Q165" s="229"/>
      <c r="R165" s="232" t="s">
        <v>7</v>
      </c>
      <c r="S165" s="121">
        <f t="shared" si="37"/>
        <v>0</v>
      </c>
      <c r="T165" s="98">
        <f t="shared" si="38"/>
        <v>0</v>
      </c>
      <c r="U165" s="13" t="str">
        <f t="shared" si="48"/>
        <v>SEM VALOR</v>
      </c>
      <c r="V165" s="4">
        <f ca="1">IF(OR($A165=0,$A165="S",$A165&gt;CFF!$A$9),"",MAX(V$12:OFFSET(V165,-1,0))+1)</f>
      </c>
      <c r="W165" s="9" t="str">
        <f t="shared" si="49"/>
        <v>SINAPI-99808</v>
      </c>
      <c r="X165" s="4">
        <f ca="1" t="shared" si="39"/>
        <v>11768</v>
      </c>
      <c r="Y165" s="121">
        <v>5.05</v>
      </c>
      <c r="Z165" s="132">
        <f>ROUND(IF(ISNUMBER(R165),R165,IF(LEFT(R165,3)="BDI",HLOOKUP(R165,DADOS!$T$37:$X$38,2,FALSE),0)),15-11*$X$5)</f>
        <v>0.21</v>
      </c>
      <c r="AA165" s="4"/>
    </row>
    <row r="166" spans="1:27" ht="25.5">
      <c r="A166" t="str">
        <f>CHOOSE(1+LOG(1+2*(J166="Meta")+4*(J166="Nível 2")+8*(J166="Nível 3")+16*(J166="Nível 4")+32*(J166="Serviço"),2),0,1,2,3,4,"S")</f>
        <v>S</v>
      </c>
      <c r="B166">
        <f>IF(OR(A166="S",A166=0),0,IF(ISERROR(I166),H166,SMALL(H166:I166,1)))</f>
        <v>0</v>
      </c>
      <c r="C166">
        <f ca="1">IF($A166=1,OFFSET(C166,-1,0)+1,OFFSET(C166,-1,0))</f>
        <v>11</v>
      </c>
      <c r="D166">
        <f ca="1">IF($A166=1,0,IF($A166=2,OFFSET(D166,-1,0)+1,OFFSET(D166,-1,0)))</f>
        <v>0</v>
      </c>
      <c r="E166">
        <f ca="1">IF(AND($A166&lt;=2,$A166&lt;&gt;0),0,IF($A166=3,OFFSET(E166,-1,0)+1,OFFSET(E166,-1,0)))</f>
        <v>0</v>
      </c>
      <c r="F166">
        <f ca="1">IF(AND($A166&lt;=3,$A166&lt;&gt;0),0,IF($A166=4,OFFSET(F166,-1,0)+1,OFFSET(F166,-1,0)))</f>
        <v>0</v>
      </c>
      <c r="G166">
        <f ca="1">IF(AND($A166&lt;=4,$A166&lt;&gt;0),0,IF($A166="S",OFFSET(G166,-1,0)+1,OFFSET(G166,-1,0)))</f>
        <v>3</v>
      </c>
      <c r="H166">
        <f ca="1" t="shared" si="50"/>
        <v>0</v>
      </c>
      <c r="I166">
        <f ca="1" t="shared" si="51"/>
        <v>0</v>
      </c>
      <c r="J166" s="393" t="s">
        <v>103</v>
      </c>
      <c r="K166" s="162" t="str">
        <f>IF($A166=0,"-",CONCATENATE(C166&amp;".",IF(AND($A$5&gt;=2,$A166&gt;=2),D166&amp;".",""),IF(AND($A$5&gt;=3,$A166&gt;=3),E166&amp;".",""),IF(AND($A$5&gt;=4,$A166&gt;=4),F166&amp;".",""),IF($A166="S",G166&amp;".","")))</f>
        <v>11.0.3.</v>
      </c>
      <c r="L166" s="394" t="s">
        <v>233</v>
      </c>
      <c r="M166" s="394" t="s">
        <v>362</v>
      </c>
      <c r="N166" s="396" t="s">
        <v>477</v>
      </c>
      <c r="O166" s="397" t="s">
        <v>479</v>
      </c>
      <c r="P166" s="225">
        <f ca="1">OFFSET(PLQ!$E$12,ROW($P166)-ROW(P$12),0)</f>
        <v>916.38</v>
      </c>
      <c r="Q166" s="229"/>
      <c r="R166" s="232" t="s">
        <v>7</v>
      </c>
      <c r="S166" s="121">
        <f>IF($A166="S",IF($Q$10="Preço Unitário (R$)",PO.CustoUnitario,ROUND(PO.CustoUnitario*(1+$Z166),15-13*$X$6)),0)</f>
        <v>0</v>
      </c>
      <c r="T166" s="98">
        <f>IF($A166="S",VTOTAL1,IF($A166=0,0,ROUND(SomaAgrup,15-13*$X$7)))</f>
        <v>0</v>
      </c>
      <c r="U166" s="13" t="str">
        <f>IF($J166="","",IF($N166="","DESCRIÇÃO",IF(AND($J166="Serviço",$O166=""),"UNIDADE",IF($T166&lt;=0,"SEM VALOR",IF(AND($Y166&lt;&gt;"",$Q166&gt;$Y166),"ACIMA REF.","")))))</f>
        <v>SEM VALOR</v>
      </c>
      <c r="V166" s="4">
        <f ca="1">IF(OR($A166=0,$A166="S",$A166&gt;CFF!$A$9),"",MAX(V$12:OFFSET(V166,-1,0))+1)</f>
      </c>
      <c r="W166" s="9" t="str">
        <f>IF(AND($J166="Serviço",$M166&lt;&gt;""),IF($L166="",$M166,CONCATENATE($L166,"-",$M166)))</f>
        <v>SINAPI-99807</v>
      </c>
      <c r="X166" s="4">
        <f ca="1">IF(AND(Fonte&lt;&gt;"",Código&lt;&gt;""),MATCH(Fonte&amp;" "&amp;IF(Fonte="sinapi",SUBSTITUTE(SUBSTITUTE(Código,"/00","/"),"/0","/"),Código),INDIRECT("'[Referência "&amp;DATABASE&amp;".xls]Banco'!$a:$a"),0),"X")</f>
        <v>11767</v>
      </c>
      <c r="Y166" s="121">
        <v>2.04</v>
      </c>
      <c r="Z166" s="132">
        <f>ROUND(IF(ISNUMBER(R166),R166,IF(LEFT(R166,3)="BDI",HLOOKUP(R166,DADOS!$T$37:$X$38,2,FALSE),0)),15-11*$X$5)</f>
        <v>0.21</v>
      </c>
      <c r="AA166" s="4"/>
    </row>
    <row r="167" spans="1:27" ht="12.75">
      <c r="A167">
        <v>-1</v>
      </c>
      <c r="C167">
        <v>0</v>
      </c>
      <c r="D167">
        <v>0</v>
      </c>
      <c r="E167">
        <v>0</v>
      </c>
      <c r="F167">
        <v>0</v>
      </c>
      <c r="G167">
        <v>0</v>
      </c>
      <c r="J167" s="83"/>
      <c r="K167" s="83"/>
      <c r="L167" s="83"/>
      <c r="M167" s="83"/>
      <c r="N167" s="83"/>
      <c r="O167" s="83"/>
      <c r="P167" s="83"/>
      <c r="Q167" s="83"/>
      <c r="R167" s="83"/>
      <c r="S167" s="83"/>
      <c r="T167" s="83"/>
      <c r="U167" s="4"/>
      <c r="V167" s="4"/>
      <c r="W167" s="4"/>
      <c r="X167" s="4"/>
      <c r="Y167" s="4"/>
      <c r="Z167" s="4"/>
      <c r="AA167" s="4"/>
    </row>
    <row r="168" spans="1:27" ht="14.25">
      <c r="A168" s="4"/>
      <c r="B168" s="4"/>
      <c r="C168" s="4"/>
      <c r="D168" s="4"/>
      <c r="E168" s="4"/>
      <c r="F168" s="4"/>
      <c r="G168" s="4"/>
      <c r="H168" s="4"/>
      <c r="I168" s="4"/>
      <c r="J168" s="4"/>
      <c r="K168" s="84" t="s">
        <v>62</v>
      </c>
      <c r="L168" s="4"/>
      <c r="M168" s="365" t="s">
        <v>141</v>
      </c>
      <c r="N168" s="366"/>
      <c r="O168" s="366"/>
      <c r="P168" s="366"/>
      <c r="Q168" s="366"/>
      <c r="R168" s="366"/>
      <c r="S168" s="366"/>
      <c r="T168" s="367"/>
      <c r="U168" s="4"/>
      <c r="V168" s="4"/>
      <c r="W168" s="4"/>
      <c r="X168" s="4"/>
      <c r="Y168" s="4"/>
      <c r="Z168" s="4"/>
      <c r="AA168" s="4"/>
    </row>
    <row r="169" spans="1:27"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4.25">
      <c r="A170" s="4"/>
      <c r="B170" s="4"/>
      <c r="C170" s="4"/>
      <c r="D170" s="4"/>
      <c r="E170" s="4"/>
      <c r="F170" s="4"/>
      <c r="G170" s="4"/>
      <c r="H170" s="4"/>
      <c r="I170" s="4"/>
      <c r="J170" s="4"/>
      <c r="K170" s="90" t="s">
        <v>21</v>
      </c>
      <c r="L170" s="20"/>
      <c r="M170" s="20"/>
      <c r="N170" s="20"/>
      <c r="O170" s="20"/>
      <c r="P170" s="20"/>
      <c r="Q170" s="20"/>
      <c r="R170" s="20"/>
      <c r="S170" s="20"/>
      <c r="T170" s="89"/>
      <c r="U170" s="4"/>
      <c r="V170" s="4"/>
      <c r="W170" s="4"/>
      <c r="X170" s="4"/>
      <c r="Y170" s="4"/>
      <c r="Z170" s="4"/>
      <c r="AA170" s="4"/>
    </row>
    <row r="171" spans="1:27" ht="12.75" customHeight="1">
      <c r="A171" s="4"/>
      <c r="B171" s="4"/>
      <c r="C171" s="4"/>
      <c r="D171" s="4"/>
      <c r="E171" s="4"/>
      <c r="F171" s="4"/>
      <c r="G171" s="4"/>
      <c r="H171" s="4"/>
      <c r="I171" s="4"/>
      <c r="J171" s="4"/>
      <c r="K171" s="359"/>
      <c r="L171" s="360"/>
      <c r="M171" s="360"/>
      <c r="N171" s="360"/>
      <c r="O171" s="360"/>
      <c r="P171" s="360"/>
      <c r="Q171" s="360"/>
      <c r="R171" s="360"/>
      <c r="S171" s="360"/>
      <c r="T171" s="361"/>
      <c r="U171" s="4"/>
      <c r="V171" s="4"/>
      <c r="W171" s="4"/>
      <c r="X171" s="4"/>
      <c r="Y171" s="4"/>
      <c r="Z171" s="4"/>
      <c r="AA171" s="4"/>
    </row>
    <row r="172" spans="1:27" ht="12.75">
      <c r="A172" s="4"/>
      <c r="B172" s="4"/>
      <c r="C172" s="4"/>
      <c r="D172" s="4"/>
      <c r="E172" s="4"/>
      <c r="F172" s="4"/>
      <c r="G172" s="4"/>
      <c r="H172" s="4"/>
      <c r="I172" s="4"/>
      <c r="J172" s="4"/>
      <c r="K172" s="359"/>
      <c r="L172" s="360"/>
      <c r="M172" s="360"/>
      <c r="N172" s="360"/>
      <c r="O172" s="360"/>
      <c r="P172" s="360"/>
      <c r="Q172" s="360"/>
      <c r="R172" s="360"/>
      <c r="S172" s="360"/>
      <c r="T172" s="361"/>
      <c r="U172" s="4"/>
      <c r="V172" s="4"/>
      <c r="W172" s="4"/>
      <c r="X172" s="4"/>
      <c r="Y172" s="4"/>
      <c r="Z172" s="4"/>
      <c r="AA172" s="4"/>
    </row>
    <row r="173" spans="1:27" ht="12.75">
      <c r="A173" s="4"/>
      <c r="B173" s="4"/>
      <c r="C173" s="4"/>
      <c r="D173" s="4"/>
      <c r="E173" s="4"/>
      <c r="F173" s="4"/>
      <c r="G173" s="4"/>
      <c r="H173" s="4"/>
      <c r="I173" s="4"/>
      <c r="J173" s="4"/>
      <c r="K173" s="362"/>
      <c r="L173" s="363"/>
      <c r="M173" s="363"/>
      <c r="N173" s="363"/>
      <c r="O173" s="363"/>
      <c r="P173" s="363"/>
      <c r="Q173" s="363"/>
      <c r="R173" s="363"/>
      <c r="S173" s="363"/>
      <c r="T173" s="364"/>
      <c r="U173" s="4"/>
      <c r="V173" s="4"/>
      <c r="W173" s="4"/>
      <c r="X173" s="4"/>
      <c r="Y173" s="4"/>
      <c r="Z173" s="4"/>
      <c r="AA173" s="4"/>
    </row>
    <row r="174" spans="1:27" ht="14.25">
      <c r="A174" s="4"/>
      <c r="B174" s="4"/>
      <c r="C174" s="4"/>
      <c r="D174" s="4"/>
      <c r="E174" s="4"/>
      <c r="F174" s="4"/>
      <c r="G174" s="4"/>
      <c r="H174" s="4"/>
      <c r="I174" s="4"/>
      <c r="J174" s="4"/>
      <c r="K174" s="213"/>
      <c r="L174" s="213"/>
      <c r="M174" s="213"/>
      <c r="N174" s="213"/>
      <c r="O174" s="213"/>
      <c r="P174" s="213"/>
      <c r="Q174" s="213"/>
      <c r="R174" s="213"/>
      <c r="S174" s="213"/>
      <c r="T174" s="213"/>
      <c r="U174" s="4"/>
      <c r="V174" s="4"/>
      <c r="W174" s="4"/>
      <c r="X174" s="4"/>
      <c r="Y174" s="4"/>
      <c r="Z174" s="4"/>
      <c r="AA174" s="4"/>
    </row>
    <row r="175" spans="1:27" ht="15">
      <c r="A175" s="4"/>
      <c r="B175" s="4"/>
      <c r="C175" s="4"/>
      <c r="D175" s="4"/>
      <c r="E175" s="4"/>
      <c r="F175" s="4"/>
      <c r="G175" s="4"/>
      <c r="H175" s="4"/>
      <c r="I175" s="4"/>
      <c r="J175" s="4"/>
      <c r="K175" s="356"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175" s="357"/>
      <c r="M175" s="357"/>
      <c r="N175" s="357"/>
      <c r="O175" s="357"/>
      <c r="P175" s="357"/>
      <c r="Q175" s="357"/>
      <c r="R175" s="357"/>
      <c r="S175" s="357"/>
      <c r="T175" s="358"/>
      <c r="U175" s="4"/>
      <c r="V175" s="4"/>
      <c r="W175" s="4"/>
      <c r="X175" s="4"/>
      <c r="Y175" s="4"/>
      <c r="Z175" s="4"/>
      <c r="AA175" s="4"/>
    </row>
    <row r="176" spans="1:27"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21"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 r="A178" s="4"/>
      <c r="B178" s="4"/>
      <c r="C178" s="4"/>
      <c r="D178" s="4"/>
      <c r="E178" s="4"/>
      <c r="F178" s="4"/>
      <c r="G178" s="4"/>
      <c r="H178" s="4"/>
      <c r="I178" s="4"/>
      <c r="J178" s="4"/>
      <c r="K178" s="369" t="str">
        <f>Import.Município</f>
        <v>Entre Rios do Sul</v>
      </c>
      <c r="L178" s="369"/>
      <c r="M178" s="369"/>
      <c r="N178" s="4"/>
      <c r="O178" s="4"/>
      <c r="P178" s="4"/>
      <c r="Q178" s="4"/>
      <c r="R178" s="4"/>
      <c r="S178" s="4"/>
      <c r="T178" s="4"/>
      <c r="U178" s="4"/>
      <c r="V178" s="4"/>
      <c r="W178" s="4"/>
      <c r="X178" s="4"/>
      <c r="Y178" s="4"/>
      <c r="Z178" s="4"/>
      <c r="AA178" s="4"/>
    </row>
    <row r="179" spans="1:27" ht="12.75">
      <c r="A179" s="4"/>
      <c r="B179" s="4"/>
      <c r="C179" s="4"/>
      <c r="D179" s="4"/>
      <c r="E179" s="4"/>
      <c r="F179" s="4"/>
      <c r="G179" s="4"/>
      <c r="H179" s="4"/>
      <c r="I179" s="4"/>
      <c r="J179" s="4"/>
      <c r="K179" s="112" t="s">
        <v>120</v>
      </c>
      <c r="L179" s="4"/>
      <c r="M179" s="4"/>
      <c r="N179" s="4"/>
      <c r="O179" s="4"/>
      <c r="P179" s="4"/>
      <c r="Q179" s="4"/>
      <c r="R179" s="4"/>
      <c r="S179" s="4"/>
      <c r="T179" s="4"/>
      <c r="U179" s="4"/>
      <c r="V179" s="4"/>
      <c r="W179" s="4"/>
      <c r="X179" s="4"/>
      <c r="Y179" s="4"/>
      <c r="Z179" s="4"/>
      <c r="AA179" s="4"/>
    </row>
    <row r="180" spans="1:27"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 r="A181" s="4"/>
      <c r="B181" s="4"/>
      <c r="C181" s="4"/>
      <c r="D181" s="4"/>
      <c r="E181" s="4"/>
      <c r="F181" s="4"/>
      <c r="G181" s="4"/>
      <c r="H181" s="4"/>
      <c r="I181" s="4"/>
      <c r="J181" s="4"/>
      <c r="K181" s="368" t="s">
        <v>340</v>
      </c>
      <c r="L181" s="368"/>
      <c r="M181" s="368"/>
      <c r="N181" s="4"/>
      <c r="O181" s="4"/>
      <c r="P181" s="4"/>
      <c r="Q181" s="4"/>
      <c r="R181" s="4"/>
      <c r="S181" s="4"/>
      <c r="T181" s="4"/>
      <c r="U181" s="4"/>
      <c r="V181" s="4"/>
      <c r="W181" s="4"/>
      <c r="X181" s="4"/>
      <c r="Y181" s="4"/>
      <c r="Z181" s="4"/>
      <c r="AA181" s="4"/>
    </row>
    <row r="182" spans="1:27" ht="12.75">
      <c r="A182" s="4"/>
      <c r="B182" s="4"/>
      <c r="C182" s="4"/>
      <c r="D182" s="4"/>
      <c r="E182" s="4"/>
      <c r="F182" s="4"/>
      <c r="G182" s="4"/>
      <c r="H182" s="4"/>
      <c r="I182" s="4"/>
      <c r="J182" s="4"/>
      <c r="K182" s="141" t="s">
        <v>121</v>
      </c>
      <c r="L182" s="83"/>
      <c r="M182" s="83"/>
      <c r="N182" s="4"/>
      <c r="O182" s="4"/>
      <c r="P182" s="4"/>
      <c r="Q182" s="4"/>
      <c r="R182" s="4"/>
      <c r="S182" s="4"/>
      <c r="T182" s="4"/>
      <c r="U182" s="4"/>
      <c r="V182" s="4"/>
      <c r="W182" s="4"/>
      <c r="X182" s="4"/>
      <c r="Y182" s="4"/>
      <c r="Z182" s="4"/>
      <c r="AA182" s="4"/>
    </row>
  </sheetData>
  <sheetProtection password="C95B" sheet="1" objects="1" scenarios="1"/>
  <mergeCells count="6">
    <mergeCell ref="W2:X2"/>
    <mergeCell ref="K175:T175"/>
    <mergeCell ref="K171:T173"/>
    <mergeCell ref="M168:T168"/>
    <mergeCell ref="K181:M181"/>
    <mergeCell ref="K178:M178"/>
  </mergeCells>
  <conditionalFormatting sqref="O12:R12 L12:M12">
    <cfRule type="expression" priority="3290" dxfId="632" stopIfTrue="1">
      <formula>$J12=$C$2</formula>
    </cfRule>
    <cfRule type="expression" priority="3291" dxfId="631" stopIfTrue="1">
      <formula>UPPER(LEFT($J12,5))="NÍVEL"</formula>
    </cfRule>
    <cfRule type="expression" priority="3292" dxfId="633" stopIfTrue="1">
      <formula>$J12=$C$8</formula>
    </cfRule>
  </conditionalFormatting>
  <conditionalFormatting sqref="Y12:Z12 S12:T12 K12">
    <cfRule type="expression" priority="3293" dxfId="632" stopIfTrue="1">
      <formula>$J12=$C$2</formula>
    </cfRule>
    <cfRule type="expression" priority="3294" dxfId="631" stopIfTrue="1">
      <formula>UPPER(LEFT($J12,5))="NÍVEL"</formula>
    </cfRule>
  </conditionalFormatting>
  <conditionalFormatting sqref="K11 K13:K17 K19:K25 K27:K40 K42:K63 K113:K122 K65:K111 K124:K125 K128:K145 K148:K152 K163:K166">
    <cfRule type="expression" priority="3306" dxfId="656" stopIfTrue="1">
      <formula>$J11=$C$2</formula>
    </cfRule>
    <cfRule type="expression" priority="3307" dxfId="90" stopIfTrue="1">
      <formula>AND($J11&lt;&gt;"",$J11&lt;&gt;"Serviço")</formula>
    </cfRule>
    <cfRule type="expression" priority="3308" dxfId="84" stopIfTrue="1">
      <formula>$J11=""</formula>
    </cfRule>
  </conditionalFormatting>
  <conditionalFormatting sqref="P11 P13:P17 P19:P25 P27:P40 P42:P63 P113:P122 P65:P111 P124:P125 P128:P145 P148:P152 P163:P166">
    <cfRule type="expression" priority="1633" dxfId="657" stopIfTrue="1">
      <formula>$J11=$C$2</formula>
    </cfRule>
    <cfRule type="expression" priority="3312" dxfId="94" stopIfTrue="1">
      <formula>AND($J11&lt;&gt;"Serviço")</formula>
    </cfRule>
    <cfRule type="expression" priority="3313" dxfId="383" stopIfTrue="1">
      <formula>CELL("proteger",P11)</formula>
    </cfRule>
  </conditionalFormatting>
  <conditionalFormatting sqref="Q11:R11 Q13:R17 Q19:R25 Q27:R40 Q42:R63 Q113:R122 Q65:R111 Q124:R125 Q128:R145 Q148:R152 Q163:R166">
    <cfRule type="expression" priority="3314" dxfId="658" stopIfTrue="1">
      <formula>$J11=$C$2</formula>
    </cfRule>
    <cfRule type="expression" priority="3315" dxfId="84" stopIfTrue="1">
      <formula>$J11&lt;&gt;"Serviço"</formula>
    </cfRule>
    <cfRule type="expression" priority="3316" dxfId="83" stopIfTrue="1">
      <formula>CELL("proteger",Q11)</formula>
    </cfRule>
  </conditionalFormatting>
  <conditionalFormatting sqref="S11:T11 Y11:Z11 S13:T17 Y13:Z17 S19:T25 Y19:Z25 Y27:Z40 S27:T40 S42:T63 Y42:Z63 Y113:Z122 S113:T122 Y65:Z111 S65:T111 S124:T125 Y124:Z125 S128:T145 Y128:Z145 Y148:Z152 S148:T152 S163:T166 Y163:Z166">
    <cfRule type="expression" priority="3317" dxfId="656" stopIfTrue="1">
      <formula>$J11=$C$2</formula>
    </cfRule>
    <cfRule type="expression" priority="3318" dxfId="90" stopIfTrue="1">
      <formula>$J11&lt;&gt;"Serviço"</formula>
    </cfRule>
  </conditionalFormatting>
  <conditionalFormatting sqref="L11:M11 L13:M17 L19:M25 L27:M40 L53:M63 L42:M51 L99:M111 L117:M119 L113:M114 L65:M95 L124:M125 L148:M152 L128:M145 L163:M166">
    <cfRule type="expression" priority="3338" dxfId="658" stopIfTrue="1">
      <formula>$J11=$C$2</formula>
    </cfRule>
    <cfRule type="expression" priority="3339" dxfId="84" stopIfTrue="1">
      <formula>$J11&lt;&gt;"Serviço"</formula>
    </cfRule>
    <cfRule type="expression" priority="3340" dxfId="83" stopIfTrue="1">
      <formula>OR(CELL("proteger",L11),$J11="",TipoOrçamento="Licitado")</formula>
    </cfRule>
  </conditionalFormatting>
  <conditionalFormatting sqref="K168:T168">
    <cfRule type="expression" priority="3319" dxfId="68" stopIfTrue="1">
      <formula>OR(Tipo.Orçamento="LICITADO",Tipo.Orçamento="REPROGRAMADOAC")</formula>
    </cfRule>
    <cfRule type="expression" priority="3320" dxfId="615" stopIfTrue="1">
      <formula>$M$168=""</formula>
    </cfRule>
  </conditionalFormatting>
  <conditionalFormatting sqref="J11 J118 J109:J110 J13:J17 J49:J52 J19:J24 J36 J44:J46 J42 J54:J63 J100:J106 J70:J95 J113:J115 J65:J68 J128:J132 J136:J145 J148:J152">
    <cfRule type="expression" priority="3347" dxfId="4" stopIfTrue="1">
      <formula>TipoOrçamento="Licitado"</formula>
    </cfRule>
  </conditionalFormatting>
  <conditionalFormatting sqref="O11 O13:O17 O19:O25 O27:O40 O42:O63 O113:O122 O65:O111 O124:O125 O128:O145 O148:O152 O163:O166">
    <cfRule type="expression" priority="1653" dxfId="658" stopIfTrue="1">
      <formula>$J11=$C$2</formula>
    </cfRule>
    <cfRule type="expression" priority="1654" dxfId="84" stopIfTrue="1">
      <formula>AND($J11&lt;&gt;"Serviço")</formula>
    </cfRule>
    <cfRule type="expression" priority="1655" dxfId="83" stopIfTrue="1">
      <formula>CELL("proteger",O11)</formula>
    </cfRule>
  </conditionalFormatting>
  <conditionalFormatting sqref="N11 N14:N17 N19:N25 N27:N40 N42:N63 N113:N122 N65:N111 N124:N125 N128:N145 N148:N152 N163:N166">
    <cfRule type="expression" priority="1656" dxfId="659" stopIfTrue="1">
      <formula>$J11=$C$2</formula>
    </cfRule>
    <cfRule type="expression" priority="1657" dxfId="90" stopIfTrue="1">
      <formula>$J11&lt;&gt;"Serviço"</formula>
    </cfRule>
    <cfRule type="expression" priority="1658" dxfId="4" stopIfTrue="1">
      <formula>CELL("proteger",N11)</formula>
    </cfRule>
  </conditionalFormatting>
  <conditionalFormatting sqref="J69 J27">
    <cfRule type="expression" priority="1545" dxfId="4" stopIfTrue="1">
      <formula>TipoOrçamento="Licitado"</formula>
    </cfRule>
  </conditionalFormatting>
  <conditionalFormatting sqref="N13">
    <cfRule type="expression" priority="1522" dxfId="659" stopIfTrue="1">
      <formula>$J13=$C$2</formula>
    </cfRule>
    <cfRule type="expression" priority="1523" dxfId="90" stopIfTrue="1">
      <formula>$J13&lt;&gt;"Serviço"</formula>
    </cfRule>
    <cfRule type="expression" priority="1524" dxfId="4" stopIfTrue="1">
      <formula>CELL("proteger",N13)</formula>
    </cfRule>
  </conditionalFormatting>
  <conditionalFormatting sqref="J37:J40 J30:J35">
    <cfRule type="expression" priority="1521" dxfId="4" stopIfTrue="1">
      <formula>TipoOrçamento="Licitado"</formula>
    </cfRule>
  </conditionalFormatting>
  <conditionalFormatting sqref="J25">
    <cfRule type="expression" priority="1433" dxfId="4" stopIfTrue="1">
      <formula>TipoOrçamento="Licitado"</formula>
    </cfRule>
  </conditionalFormatting>
  <conditionalFormatting sqref="J53">
    <cfRule type="expression" priority="1302" dxfId="4" stopIfTrue="1">
      <formula>TipoOrçamento="Licitado"</formula>
    </cfRule>
  </conditionalFormatting>
  <conditionalFormatting sqref="J117">
    <cfRule type="expression" priority="1212" dxfId="4" stopIfTrue="1">
      <formula>TipoOrçamento="Licitado"</formula>
    </cfRule>
  </conditionalFormatting>
  <conditionalFormatting sqref="J116">
    <cfRule type="expression" priority="1164" dxfId="4" stopIfTrue="1">
      <formula>TipoOrçamento="Licitado"</formula>
    </cfRule>
  </conditionalFormatting>
  <conditionalFormatting sqref="J111">
    <cfRule type="expression" priority="945" dxfId="4" stopIfTrue="1">
      <formula>TipoOrçamento="Licitado"</formula>
    </cfRule>
  </conditionalFormatting>
  <conditionalFormatting sqref="J107">
    <cfRule type="expression" priority="858" dxfId="4" stopIfTrue="1">
      <formula>TipoOrçamento="Licitado"</formula>
    </cfRule>
  </conditionalFormatting>
  <conditionalFormatting sqref="J99">
    <cfRule type="expression" priority="774" dxfId="4" stopIfTrue="1">
      <formula>TipoOrçamento="Licitado"</formula>
    </cfRule>
  </conditionalFormatting>
  <conditionalFormatting sqref="J47">
    <cfRule type="expression" priority="708" dxfId="4" stopIfTrue="1">
      <formula>TipoOrçamento="Licitado"</formula>
    </cfRule>
  </conditionalFormatting>
  <conditionalFormatting sqref="J98">
    <cfRule type="expression" priority="645" dxfId="4" stopIfTrue="1">
      <formula>TipoOrçamento="Licitado"</formula>
    </cfRule>
  </conditionalFormatting>
  <conditionalFormatting sqref="J28:J29">
    <cfRule type="expression" priority="582" dxfId="4" stopIfTrue="1">
      <formula>TipoOrçamento="Licitado"</formula>
    </cfRule>
  </conditionalFormatting>
  <conditionalFormatting sqref="J97">
    <cfRule type="expression" priority="495" dxfId="4" stopIfTrue="1">
      <formula>TipoOrçamento="Licitado"</formula>
    </cfRule>
  </conditionalFormatting>
  <conditionalFormatting sqref="J96">
    <cfRule type="expression" priority="474" dxfId="4" stopIfTrue="1">
      <formula>TipoOrçamento="Licitado"</formula>
    </cfRule>
  </conditionalFormatting>
  <conditionalFormatting sqref="J108">
    <cfRule type="expression" priority="432" dxfId="4" stopIfTrue="1">
      <formula>TipoOrçamento="Licitado"</formula>
    </cfRule>
  </conditionalFormatting>
  <conditionalFormatting sqref="K18">
    <cfRule type="expression" priority="398" dxfId="656" stopIfTrue="1">
      <formula>$J18=$C$2</formula>
    </cfRule>
    <cfRule type="expression" priority="399" dxfId="90" stopIfTrue="1">
      <formula>AND($J18&lt;&gt;"",$J18&lt;&gt;"Serviço")</formula>
    </cfRule>
    <cfRule type="expression" priority="400" dxfId="84" stopIfTrue="1">
      <formula>$J18=""</formula>
    </cfRule>
  </conditionalFormatting>
  <conditionalFormatting sqref="P18">
    <cfRule type="expression" priority="391" dxfId="657" stopIfTrue="1">
      <formula>$J18=$C$2</formula>
    </cfRule>
    <cfRule type="expression" priority="401" dxfId="94" stopIfTrue="1">
      <formula>AND($J18&lt;&gt;"Serviço")</formula>
    </cfRule>
    <cfRule type="expression" priority="402" dxfId="383" stopIfTrue="1">
      <formula>CELL("proteger",P18)</formula>
    </cfRule>
  </conditionalFormatting>
  <conditionalFormatting sqref="Q18:R18">
    <cfRule type="expression" priority="403" dxfId="658" stopIfTrue="1">
      <formula>$J18=$C$2</formula>
    </cfRule>
    <cfRule type="expression" priority="404" dxfId="84" stopIfTrue="1">
      <formula>$J18&lt;&gt;"Serviço"</formula>
    </cfRule>
    <cfRule type="expression" priority="405" dxfId="83" stopIfTrue="1">
      <formula>CELL("proteger",Q18)</formula>
    </cfRule>
  </conditionalFormatting>
  <conditionalFormatting sqref="S18:T18 Y18:Z18">
    <cfRule type="expression" priority="406" dxfId="656" stopIfTrue="1">
      <formula>$J18=$C$2</formula>
    </cfRule>
    <cfRule type="expression" priority="407" dxfId="90" stopIfTrue="1">
      <formula>$J18&lt;&gt;"Serviço"</formula>
    </cfRule>
  </conditionalFormatting>
  <conditionalFormatting sqref="L18:M18">
    <cfRule type="expression" priority="408" dxfId="658" stopIfTrue="1">
      <formula>$J18=$C$2</formula>
    </cfRule>
    <cfRule type="expression" priority="409" dxfId="84" stopIfTrue="1">
      <formula>$J18&lt;&gt;"Serviço"</formula>
    </cfRule>
    <cfRule type="expression" priority="410" dxfId="83" stopIfTrue="1">
      <formula>OR(CELL("proteger",L18),$J18="",TipoOrçamento="Licitado")</formula>
    </cfRule>
  </conditionalFormatting>
  <conditionalFormatting sqref="J18">
    <cfRule type="expression" priority="411" dxfId="4" stopIfTrue="1">
      <formula>TipoOrçamento="Licitado"</formula>
    </cfRule>
  </conditionalFormatting>
  <conditionalFormatting sqref="O18">
    <cfRule type="expression" priority="392" dxfId="658" stopIfTrue="1">
      <formula>$J18=$C$2</formula>
    </cfRule>
    <cfRule type="expression" priority="393" dxfId="84" stopIfTrue="1">
      <formula>AND($J18&lt;&gt;"Serviço")</formula>
    </cfRule>
    <cfRule type="expression" priority="394" dxfId="83" stopIfTrue="1">
      <formula>CELL("proteger",O18)</formula>
    </cfRule>
  </conditionalFormatting>
  <conditionalFormatting sqref="N18">
    <cfRule type="expression" priority="395" dxfId="659" stopIfTrue="1">
      <formula>$J18=$C$2</formula>
    </cfRule>
    <cfRule type="expression" priority="396" dxfId="90" stopIfTrue="1">
      <formula>$J18&lt;&gt;"Serviço"</formula>
    </cfRule>
    <cfRule type="expression" priority="397" dxfId="4" stopIfTrue="1">
      <formula>CELL("proteger",N18)</formula>
    </cfRule>
  </conditionalFormatting>
  <conditionalFormatting sqref="J119:J122">
    <cfRule type="expression" priority="390" dxfId="4" stopIfTrue="1">
      <formula>TipoOrçamento="Licitado"</formula>
    </cfRule>
  </conditionalFormatting>
  <conditionalFormatting sqref="M120:M122">
    <cfRule type="expression" priority="367" dxfId="658" stopIfTrue="1">
      <formula>$J120=$C$2</formula>
    </cfRule>
    <cfRule type="expression" priority="368" dxfId="84" stopIfTrue="1">
      <formula>$J120&lt;&gt;"Serviço"</formula>
    </cfRule>
    <cfRule type="expression" priority="369" dxfId="83" stopIfTrue="1">
      <formula>OR(CELL("proteger",M120),$J120="",TipoOrçamento="Licitado")</formula>
    </cfRule>
  </conditionalFormatting>
  <conditionalFormatting sqref="L41:M41">
    <cfRule type="expression" priority="339" dxfId="658" stopIfTrue="1">
      <formula>$J41=$C$2</formula>
    </cfRule>
    <cfRule type="expression" priority="340" dxfId="84" stopIfTrue="1">
      <formula>$J41&lt;&gt;"Serviço"</formula>
    </cfRule>
    <cfRule type="expression" priority="341" dxfId="83" stopIfTrue="1">
      <formula>OR(CELL("proteger",L41),$J41="",TipoOrçamento="Licitado")</formula>
    </cfRule>
  </conditionalFormatting>
  <conditionalFormatting sqref="J43">
    <cfRule type="expression" priority="366" dxfId="4" stopIfTrue="1">
      <formula>TipoOrçamento="Licitado"</formula>
    </cfRule>
  </conditionalFormatting>
  <conditionalFormatting sqref="K41">
    <cfRule type="expression" priority="329" dxfId="656" stopIfTrue="1">
      <formula>$J41=$C$2</formula>
    </cfRule>
    <cfRule type="expression" priority="330" dxfId="90" stopIfTrue="1">
      <formula>AND($J41&lt;&gt;"",$J41&lt;&gt;"Serviço")</formula>
    </cfRule>
    <cfRule type="expression" priority="331" dxfId="84" stopIfTrue="1">
      <formula>$J41=""</formula>
    </cfRule>
  </conditionalFormatting>
  <conditionalFormatting sqref="P41">
    <cfRule type="expression" priority="322" dxfId="657" stopIfTrue="1">
      <formula>$J41=$C$2</formula>
    </cfRule>
    <cfRule type="expression" priority="332" dxfId="94" stopIfTrue="1">
      <formula>AND($J41&lt;&gt;"Serviço")</formula>
    </cfRule>
    <cfRule type="expression" priority="333" dxfId="383" stopIfTrue="1">
      <formula>CELL("proteger",P41)</formula>
    </cfRule>
  </conditionalFormatting>
  <conditionalFormatting sqref="Q41:R41">
    <cfRule type="expression" priority="334" dxfId="658" stopIfTrue="1">
      <formula>$J41=$C$2</formula>
    </cfRule>
    <cfRule type="expression" priority="335" dxfId="84" stopIfTrue="1">
      <formula>$J41&lt;&gt;"Serviço"</formula>
    </cfRule>
    <cfRule type="expression" priority="336" dxfId="83" stopIfTrue="1">
      <formula>CELL("proteger",Q41)</formula>
    </cfRule>
  </conditionalFormatting>
  <conditionalFormatting sqref="S41:T41 Y41:Z41">
    <cfRule type="expression" priority="337" dxfId="656" stopIfTrue="1">
      <formula>$J41=$C$2</formula>
    </cfRule>
    <cfRule type="expression" priority="338" dxfId="90" stopIfTrue="1">
      <formula>$J41&lt;&gt;"Serviço"</formula>
    </cfRule>
  </conditionalFormatting>
  <conditionalFormatting sqref="L26:M26">
    <cfRule type="expression" priority="318" dxfId="658" stopIfTrue="1">
      <formula>$J26=$C$2</formula>
    </cfRule>
    <cfRule type="expression" priority="319" dxfId="84" stopIfTrue="1">
      <formula>$J26&lt;&gt;"Serviço"</formula>
    </cfRule>
    <cfRule type="expression" priority="320" dxfId="83" stopIfTrue="1">
      <formula>OR(CELL("proteger",L26),$J26="",TipoOrçamento="Licitado")</formula>
    </cfRule>
  </conditionalFormatting>
  <conditionalFormatting sqref="J41">
    <cfRule type="expression" priority="342" dxfId="4" stopIfTrue="1">
      <formula>TipoOrçamento="Licitado"</formula>
    </cfRule>
  </conditionalFormatting>
  <conditionalFormatting sqref="O41">
    <cfRule type="expression" priority="323" dxfId="658" stopIfTrue="1">
      <formula>$J41=$C$2</formula>
    </cfRule>
    <cfRule type="expression" priority="324" dxfId="84" stopIfTrue="1">
      <formula>AND($J41&lt;&gt;"Serviço")</formula>
    </cfRule>
    <cfRule type="expression" priority="325" dxfId="83" stopIfTrue="1">
      <formula>CELL("proteger",O41)</formula>
    </cfRule>
  </conditionalFormatting>
  <conditionalFormatting sqref="N41">
    <cfRule type="expression" priority="326" dxfId="659" stopIfTrue="1">
      <formula>$J41=$C$2</formula>
    </cfRule>
    <cfRule type="expression" priority="327" dxfId="90" stopIfTrue="1">
      <formula>$J41&lt;&gt;"Serviço"</formula>
    </cfRule>
    <cfRule type="expression" priority="328" dxfId="4" stopIfTrue="1">
      <formula>CELL("proteger",N41)</formula>
    </cfRule>
  </conditionalFormatting>
  <conditionalFormatting sqref="K26">
    <cfRule type="expression" priority="308" dxfId="656" stopIfTrue="1">
      <formula>$J26=$C$2</formula>
    </cfRule>
    <cfRule type="expression" priority="309" dxfId="90" stopIfTrue="1">
      <formula>AND($J26&lt;&gt;"",$J26&lt;&gt;"Serviço")</formula>
    </cfRule>
    <cfRule type="expression" priority="310" dxfId="84" stopIfTrue="1">
      <formula>$J26=""</formula>
    </cfRule>
  </conditionalFormatting>
  <conditionalFormatting sqref="P26">
    <cfRule type="expression" priority="301" dxfId="657" stopIfTrue="1">
      <formula>$J26=$C$2</formula>
    </cfRule>
    <cfRule type="expression" priority="311" dxfId="94" stopIfTrue="1">
      <formula>AND($J26&lt;&gt;"Serviço")</formula>
    </cfRule>
    <cfRule type="expression" priority="312" dxfId="383" stopIfTrue="1">
      <formula>CELL("proteger",P26)</formula>
    </cfRule>
  </conditionalFormatting>
  <conditionalFormatting sqref="Q26:R26">
    <cfRule type="expression" priority="313" dxfId="658" stopIfTrue="1">
      <formula>$J26=$C$2</formula>
    </cfRule>
    <cfRule type="expression" priority="314" dxfId="84" stopIfTrue="1">
      <formula>$J26&lt;&gt;"Serviço"</formula>
    </cfRule>
    <cfRule type="expression" priority="315" dxfId="83" stopIfTrue="1">
      <formula>CELL("proteger",Q26)</formula>
    </cfRule>
  </conditionalFormatting>
  <conditionalFormatting sqref="S26:T26 Y26:Z26">
    <cfRule type="expression" priority="316" dxfId="656" stopIfTrue="1">
      <formula>$J26=$C$2</formula>
    </cfRule>
    <cfRule type="expression" priority="317" dxfId="90" stopIfTrue="1">
      <formula>$J26&lt;&gt;"Serviço"</formula>
    </cfRule>
  </conditionalFormatting>
  <conditionalFormatting sqref="J26">
    <cfRule type="expression" priority="321" dxfId="4" stopIfTrue="1">
      <formula>TipoOrçamento="Licitado"</formula>
    </cfRule>
  </conditionalFormatting>
  <conditionalFormatting sqref="O26">
    <cfRule type="expression" priority="302" dxfId="658" stopIfTrue="1">
      <formula>$J26=$C$2</formula>
    </cfRule>
    <cfRule type="expression" priority="303" dxfId="84" stopIfTrue="1">
      <formula>AND($J26&lt;&gt;"Serviço")</formula>
    </cfRule>
    <cfRule type="expression" priority="304" dxfId="83" stopIfTrue="1">
      <formula>CELL("proteger",O26)</formula>
    </cfRule>
  </conditionalFormatting>
  <conditionalFormatting sqref="N26">
    <cfRule type="expression" priority="305" dxfId="659" stopIfTrue="1">
      <formula>$J26=$C$2</formula>
    </cfRule>
    <cfRule type="expression" priority="306" dxfId="90" stopIfTrue="1">
      <formula>$J26&lt;&gt;"Serviço"</formula>
    </cfRule>
    <cfRule type="expression" priority="307" dxfId="4" stopIfTrue="1">
      <formula>CELL("proteger",N26)</formula>
    </cfRule>
  </conditionalFormatting>
  <conditionalFormatting sqref="J48">
    <cfRule type="expression" priority="300" dxfId="4" stopIfTrue="1">
      <formula>TipoOrçamento="Licitado"</formula>
    </cfRule>
  </conditionalFormatting>
  <conditionalFormatting sqref="K112">
    <cfRule type="expression" priority="263" dxfId="656" stopIfTrue="1">
      <formula>$J112=$C$2</formula>
    </cfRule>
    <cfRule type="expression" priority="264" dxfId="90" stopIfTrue="1">
      <formula>AND($J112&lt;&gt;"",$J112&lt;&gt;"Serviço")</formula>
    </cfRule>
    <cfRule type="expression" priority="265" dxfId="84" stopIfTrue="1">
      <formula>$J112=""</formula>
    </cfRule>
  </conditionalFormatting>
  <conditionalFormatting sqref="P112">
    <cfRule type="expression" priority="256" dxfId="657" stopIfTrue="1">
      <formula>$J112=$C$2</formula>
    </cfRule>
    <cfRule type="expression" priority="266" dxfId="94" stopIfTrue="1">
      <formula>AND($J112&lt;&gt;"Serviço")</formula>
    </cfRule>
    <cfRule type="expression" priority="267" dxfId="383" stopIfTrue="1">
      <formula>CELL("proteger",P112)</formula>
    </cfRule>
  </conditionalFormatting>
  <conditionalFormatting sqref="Q112:R112">
    <cfRule type="expression" priority="268" dxfId="658" stopIfTrue="1">
      <formula>$J112=$C$2</formula>
    </cfRule>
    <cfRule type="expression" priority="269" dxfId="84" stopIfTrue="1">
      <formula>$J112&lt;&gt;"Serviço"</formula>
    </cfRule>
    <cfRule type="expression" priority="270" dxfId="83" stopIfTrue="1">
      <formula>CELL("proteger",Q112)</formula>
    </cfRule>
  </conditionalFormatting>
  <conditionalFormatting sqref="S112:T112 Y112:Z112">
    <cfRule type="expression" priority="271" dxfId="656" stopIfTrue="1">
      <formula>$J112=$C$2</formula>
    </cfRule>
    <cfRule type="expression" priority="272" dxfId="90" stopIfTrue="1">
      <formula>$J112&lt;&gt;"Serviço"</formula>
    </cfRule>
  </conditionalFormatting>
  <conditionalFormatting sqref="L123:M123">
    <cfRule type="expression" priority="249" dxfId="658" stopIfTrue="1">
      <formula>$J123=$C$2</formula>
    </cfRule>
    <cfRule type="expression" priority="250" dxfId="84" stopIfTrue="1">
      <formula>$J123&lt;&gt;"Serviço"</formula>
    </cfRule>
    <cfRule type="expression" priority="251" dxfId="83" stopIfTrue="1">
      <formula>OR(CELL("proteger",L123),$J123="",TipoOrçamento="Licitado")</formula>
    </cfRule>
  </conditionalFormatting>
  <conditionalFormatting sqref="J112">
    <cfRule type="expression" priority="276" dxfId="4" stopIfTrue="1">
      <formula>TipoOrçamento="Licitado"</formula>
    </cfRule>
  </conditionalFormatting>
  <conditionalFormatting sqref="O112">
    <cfRule type="expression" priority="257" dxfId="658" stopIfTrue="1">
      <formula>$J112=$C$2</formula>
    </cfRule>
    <cfRule type="expression" priority="258" dxfId="84" stopIfTrue="1">
      <formula>AND($J112&lt;&gt;"Serviço")</formula>
    </cfRule>
    <cfRule type="expression" priority="259" dxfId="83" stopIfTrue="1">
      <formula>CELL("proteger",O112)</formula>
    </cfRule>
  </conditionalFormatting>
  <conditionalFormatting sqref="N112">
    <cfRule type="expression" priority="260" dxfId="659" stopIfTrue="1">
      <formula>$J112=$C$2</formula>
    </cfRule>
    <cfRule type="expression" priority="261" dxfId="90" stopIfTrue="1">
      <formula>$J112&lt;&gt;"Serviço"</formula>
    </cfRule>
    <cfRule type="expression" priority="262" dxfId="4" stopIfTrue="1">
      <formula>CELL("proteger",N112)</formula>
    </cfRule>
  </conditionalFormatting>
  <conditionalFormatting sqref="L112:M112">
    <cfRule type="expression" priority="253" dxfId="658" stopIfTrue="1">
      <formula>$J112=$C$2</formula>
    </cfRule>
    <cfRule type="expression" priority="254" dxfId="84" stopIfTrue="1">
      <formula>$J112&lt;&gt;"Serviço"</formula>
    </cfRule>
    <cfRule type="expression" priority="255" dxfId="83" stopIfTrue="1">
      <formula>OR(CELL("proteger",L112),$J112="",TipoOrçamento="Licitado")</formula>
    </cfRule>
  </conditionalFormatting>
  <conditionalFormatting sqref="K123">
    <cfRule type="expression" priority="239" dxfId="656" stopIfTrue="1">
      <formula>$J123=$C$2</formula>
    </cfRule>
    <cfRule type="expression" priority="240" dxfId="90" stopIfTrue="1">
      <formula>AND($J123&lt;&gt;"",$J123&lt;&gt;"Serviço")</formula>
    </cfRule>
    <cfRule type="expression" priority="241" dxfId="84" stopIfTrue="1">
      <formula>$J123=""</formula>
    </cfRule>
  </conditionalFormatting>
  <conditionalFormatting sqref="P123">
    <cfRule type="expression" priority="232" dxfId="657" stopIfTrue="1">
      <formula>$J123=$C$2</formula>
    </cfRule>
    <cfRule type="expression" priority="242" dxfId="94" stopIfTrue="1">
      <formula>AND($J123&lt;&gt;"Serviço")</formula>
    </cfRule>
    <cfRule type="expression" priority="243" dxfId="383" stopIfTrue="1">
      <formula>CELL("proteger",P123)</formula>
    </cfRule>
  </conditionalFormatting>
  <conditionalFormatting sqref="Q123:R123">
    <cfRule type="expression" priority="244" dxfId="658" stopIfTrue="1">
      <formula>$J123=$C$2</formula>
    </cfRule>
    <cfRule type="expression" priority="245" dxfId="84" stopIfTrue="1">
      <formula>$J123&lt;&gt;"Serviço"</formula>
    </cfRule>
    <cfRule type="expression" priority="246" dxfId="83" stopIfTrue="1">
      <formula>CELL("proteger",Q123)</formula>
    </cfRule>
  </conditionalFormatting>
  <conditionalFormatting sqref="S123:T123 Y123:Z123">
    <cfRule type="expression" priority="247" dxfId="656" stopIfTrue="1">
      <formula>$J123=$C$2</formula>
    </cfRule>
    <cfRule type="expression" priority="248" dxfId="90" stopIfTrue="1">
      <formula>$J123&lt;&gt;"Serviço"</formula>
    </cfRule>
  </conditionalFormatting>
  <conditionalFormatting sqref="L64:M64">
    <cfRule type="expression" priority="228" dxfId="658" stopIfTrue="1">
      <formula>$J64=$C$2</formula>
    </cfRule>
    <cfRule type="expression" priority="229" dxfId="84" stopIfTrue="1">
      <formula>$J64&lt;&gt;"Serviço"</formula>
    </cfRule>
    <cfRule type="expression" priority="230" dxfId="83" stopIfTrue="1">
      <formula>OR(CELL("proteger",L64),$J64="",TipoOrçamento="Licitado")</formula>
    </cfRule>
  </conditionalFormatting>
  <conditionalFormatting sqref="J123 J164:J165">
    <cfRule type="expression" priority="252" dxfId="4" stopIfTrue="1">
      <formula>TipoOrçamento="Licitado"</formula>
    </cfRule>
  </conditionalFormatting>
  <conditionalFormatting sqref="O123">
    <cfRule type="expression" priority="233" dxfId="658" stopIfTrue="1">
      <formula>$J123=$C$2</formula>
    </cfRule>
    <cfRule type="expression" priority="234" dxfId="84" stopIfTrue="1">
      <formula>AND($J123&lt;&gt;"Serviço")</formula>
    </cfRule>
    <cfRule type="expression" priority="235" dxfId="83" stopIfTrue="1">
      <formula>CELL("proteger",O123)</formula>
    </cfRule>
  </conditionalFormatting>
  <conditionalFormatting sqref="N123">
    <cfRule type="expression" priority="236" dxfId="659" stopIfTrue="1">
      <formula>$J123=$C$2</formula>
    </cfRule>
    <cfRule type="expression" priority="237" dxfId="90" stopIfTrue="1">
      <formula>$J123&lt;&gt;"Serviço"</formula>
    </cfRule>
    <cfRule type="expression" priority="238" dxfId="4" stopIfTrue="1">
      <formula>CELL("proteger",N123)</formula>
    </cfRule>
  </conditionalFormatting>
  <conditionalFormatting sqref="K64">
    <cfRule type="expression" priority="218" dxfId="656" stopIfTrue="1">
      <formula>$J64=$C$2</formula>
    </cfRule>
    <cfRule type="expression" priority="219" dxfId="90" stopIfTrue="1">
      <formula>AND($J64&lt;&gt;"",$J64&lt;&gt;"Serviço")</formula>
    </cfRule>
    <cfRule type="expression" priority="220" dxfId="84" stopIfTrue="1">
      <formula>$J64=""</formula>
    </cfRule>
  </conditionalFormatting>
  <conditionalFormatting sqref="P64">
    <cfRule type="expression" priority="211" dxfId="657" stopIfTrue="1">
      <formula>$J64=$C$2</formula>
    </cfRule>
    <cfRule type="expression" priority="221" dxfId="94" stopIfTrue="1">
      <formula>AND($J64&lt;&gt;"Serviço")</formula>
    </cfRule>
    <cfRule type="expression" priority="222" dxfId="383" stopIfTrue="1">
      <formula>CELL("proteger",P64)</formula>
    </cfRule>
  </conditionalFormatting>
  <conditionalFormatting sqref="Q64:R64">
    <cfRule type="expression" priority="223" dxfId="658" stopIfTrue="1">
      <formula>$J64=$C$2</formula>
    </cfRule>
    <cfRule type="expression" priority="224" dxfId="84" stopIfTrue="1">
      <formula>$J64&lt;&gt;"Serviço"</formula>
    </cfRule>
    <cfRule type="expression" priority="225" dxfId="83" stopIfTrue="1">
      <formula>CELL("proteger",Q64)</formula>
    </cfRule>
  </conditionalFormatting>
  <conditionalFormatting sqref="S64:T64 Y64:Z64">
    <cfRule type="expression" priority="226" dxfId="656" stopIfTrue="1">
      <formula>$J64=$C$2</formula>
    </cfRule>
    <cfRule type="expression" priority="227" dxfId="90" stopIfTrue="1">
      <formula>$J64&lt;&gt;"Serviço"</formula>
    </cfRule>
  </conditionalFormatting>
  <conditionalFormatting sqref="J64">
    <cfRule type="expression" priority="231" dxfId="4" stopIfTrue="1">
      <formula>TipoOrçamento="Licitado"</formula>
    </cfRule>
  </conditionalFormatting>
  <conditionalFormatting sqref="O64">
    <cfRule type="expression" priority="212" dxfId="658" stopIfTrue="1">
      <formula>$J64=$C$2</formula>
    </cfRule>
    <cfRule type="expression" priority="213" dxfId="84" stopIfTrue="1">
      <formula>AND($J64&lt;&gt;"Serviço")</formula>
    </cfRule>
    <cfRule type="expression" priority="214" dxfId="83" stopIfTrue="1">
      <formula>CELL("proteger",O64)</formula>
    </cfRule>
  </conditionalFormatting>
  <conditionalFormatting sqref="N64">
    <cfRule type="expression" priority="215" dxfId="659" stopIfTrue="1">
      <formula>$J64=$C$2</formula>
    </cfRule>
    <cfRule type="expression" priority="216" dxfId="90" stopIfTrue="1">
      <formula>$J64&lt;&gt;"Serviço"</formula>
    </cfRule>
    <cfRule type="expression" priority="217" dxfId="4" stopIfTrue="1">
      <formula>CELL("proteger",N64)</formula>
    </cfRule>
  </conditionalFormatting>
  <conditionalFormatting sqref="J125 J163">
    <cfRule type="expression" priority="210" dxfId="4" stopIfTrue="1">
      <formula>TipoOrçamento="Licitado"</formula>
    </cfRule>
  </conditionalFormatting>
  <conditionalFormatting sqref="J124">
    <cfRule type="expression" priority="189" dxfId="4" stopIfTrue="1">
      <formula>TipoOrçamento="Licitado"</formula>
    </cfRule>
  </conditionalFormatting>
  <conditionalFormatting sqref="J166">
    <cfRule type="expression" priority="168" dxfId="4" stopIfTrue="1">
      <formula>TipoOrçamento="Licitado"</formula>
    </cfRule>
  </conditionalFormatting>
  <conditionalFormatting sqref="K126:K127">
    <cfRule type="expression" priority="134" dxfId="656" stopIfTrue="1">
      <formula>$J126=$C$2</formula>
    </cfRule>
    <cfRule type="expression" priority="135" dxfId="90" stopIfTrue="1">
      <formula>AND($J126&lt;&gt;"",$J126&lt;&gt;"Serviço")</formula>
    </cfRule>
    <cfRule type="expression" priority="136" dxfId="84" stopIfTrue="1">
      <formula>$J126=""</formula>
    </cfRule>
  </conditionalFormatting>
  <conditionalFormatting sqref="P126:P127">
    <cfRule type="expression" priority="127" dxfId="657" stopIfTrue="1">
      <formula>$J126=$C$2</formula>
    </cfRule>
    <cfRule type="expression" priority="137" dxfId="94" stopIfTrue="1">
      <formula>AND($J126&lt;&gt;"Serviço")</formula>
    </cfRule>
    <cfRule type="expression" priority="138" dxfId="383" stopIfTrue="1">
      <formula>CELL("proteger",P126)</formula>
    </cfRule>
  </conditionalFormatting>
  <conditionalFormatting sqref="Q126:R127">
    <cfRule type="expression" priority="139" dxfId="658" stopIfTrue="1">
      <formula>$J126=$C$2</formula>
    </cfRule>
    <cfRule type="expression" priority="140" dxfId="84" stopIfTrue="1">
      <formula>$J126&lt;&gt;"Serviço"</formula>
    </cfRule>
    <cfRule type="expression" priority="141" dxfId="83" stopIfTrue="1">
      <formula>CELL("proteger",Q126)</formula>
    </cfRule>
  </conditionalFormatting>
  <conditionalFormatting sqref="S126:T127 Y126:Z127">
    <cfRule type="expression" priority="142" dxfId="656" stopIfTrue="1">
      <formula>$J126=$C$2</formula>
    </cfRule>
    <cfRule type="expression" priority="143" dxfId="90" stopIfTrue="1">
      <formula>$J126&lt;&gt;"Serviço"</formula>
    </cfRule>
  </conditionalFormatting>
  <conditionalFormatting sqref="L126:M127">
    <cfRule type="expression" priority="144" dxfId="658" stopIfTrue="1">
      <formula>$J126=$C$2</formula>
    </cfRule>
    <cfRule type="expression" priority="145" dxfId="84" stopIfTrue="1">
      <formula>$J126&lt;&gt;"Serviço"</formula>
    </cfRule>
    <cfRule type="expression" priority="146" dxfId="83" stopIfTrue="1">
      <formula>OR(CELL("proteger",L126),$J126="",TipoOrçamento="Licitado")</formula>
    </cfRule>
  </conditionalFormatting>
  <conditionalFormatting sqref="J126:J127 J133:J135">
    <cfRule type="expression" priority="147" dxfId="4" stopIfTrue="1">
      <formula>TipoOrçamento="Licitado"</formula>
    </cfRule>
  </conditionalFormatting>
  <conditionalFormatting sqref="O126:O127">
    <cfRule type="expression" priority="128" dxfId="658" stopIfTrue="1">
      <formula>$J126=$C$2</formula>
    </cfRule>
    <cfRule type="expression" priority="129" dxfId="84" stopIfTrue="1">
      <formula>AND($J126&lt;&gt;"Serviço")</formula>
    </cfRule>
    <cfRule type="expression" priority="130" dxfId="83" stopIfTrue="1">
      <formula>CELL("proteger",O126)</formula>
    </cfRule>
  </conditionalFormatting>
  <conditionalFormatting sqref="N126:N127">
    <cfRule type="expression" priority="131" dxfId="659" stopIfTrue="1">
      <formula>$J126=$C$2</formula>
    </cfRule>
    <cfRule type="expression" priority="132" dxfId="90" stopIfTrue="1">
      <formula>$J126&lt;&gt;"Serviço"</formula>
    </cfRule>
    <cfRule type="expression" priority="133" dxfId="4" stopIfTrue="1">
      <formula>CELL("proteger",N126)</formula>
    </cfRule>
  </conditionalFormatting>
  <conditionalFormatting sqref="K146">
    <cfRule type="expression" priority="65" dxfId="656" stopIfTrue="1">
      <formula>$J146=$C$2</formula>
    </cfRule>
    <cfRule type="expression" priority="66" dxfId="90" stopIfTrue="1">
      <formula>AND($J146&lt;&gt;"",$J146&lt;&gt;"Serviço")</formula>
    </cfRule>
    <cfRule type="expression" priority="67" dxfId="84" stopIfTrue="1">
      <formula>$J146=""</formula>
    </cfRule>
  </conditionalFormatting>
  <conditionalFormatting sqref="P146">
    <cfRule type="expression" priority="58" dxfId="657" stopIfTrue="1">
      <formula>$J146=$C$2</formula>
    </cfRule>
    <cfRule type="expression" priority="68" dxfId="94" stopIfTrue="1">
      <formula>AND($J146&lt;&gt;"Serviço")</formula>
    </cfRule>
    <cfRule type="expression" priority="69" dxfId="383" stopIfTrue="1">
      <formula>CELL("proteger",P146)</formula>
    </cfRule>
  </conditionalFormatting>
  <conditionalFormatting sqref="Q146:R146">
    <cfRule type="expression" priority="70" dxfId="658" stopIfTrue="1">
      <formula>$J146=$C$2</formula>
    </cfRule>
    <cfRule type="expression" priority="71" dxfId="84" stopIfTrue="1">
      <formula>$J146&lt;&gt;"Serviço"</formula>
    </cfRule>
    <cfRule type="expression" priority="72" dxfId="83" stopIfTrue="1">
      <formula>CELL("proteger",Q146)</formula>
    </cfRule>
  </conditionalFormatting>
  <conditionalFormatting sqref="S146:T146 Y146:Z146">
    <cfRule type="expression" priority="73" dxfId="656" stopIfTrue="1">
      <formula>$J146=$C$2</formula>
    </cfRule>
    <cfRule type="expression" priority="74" dxfId="90" stopIfTrue="1">
      <formula>$J146&lt;&gt;"Serviço"</formula>
    </cfRule>
  </conditionalFormatting>
  <conditionalFormatting sqref="M146">
    <cfRule type="expression" priority="75" dxfId="658" stopIfTrue="1">
      <formula>$J146=$C$2</formula>
    </cfRule>
    <cfRule type="expression" priority="76" dxfId="84" stopIfTrue="1">
      <formula>$J146&lt;&gt;"Serviço"</formula>
    </cfRule>
    <cfRule type="expression" priority="77" dxfId="83" stopIfTrue="1">
      <formula>OR(CELL("proteger",M146),$J146="",TipoOrçamento="Licitado")</formula>
    </cfRule>
  </conditionalFormatting>
  <conditionalFormatting sqref="J146">
    <cfRule type="expression" priority="78" dxfId="4" stopIfTrue="1">
      <formula>TipoOrçamento="Licitado"</formula>
    </cfRule>
  </conditionalFormatting>
  <conditionalFormatting sqref="O146">
    <cfRule type="expression" priority="59" dxfId="658" stopIfTrue="1">
      <formula>$J146=$C$2</formula>
    </cfRule>
    <cfRule type="expression" priority="60" dxfId="84" stopIfTrue="1">
      <formula>AND($J146&lt;&gt;"Serviço")</formula>
    </cfRule>
    <cfRule type="expression" priority="61" dxfId="83" stopIfTrue="1">
      <formula>CELL("proteger",O146)</formula>
    </cfRule>
  </conditionalFormatting>
  <conditionalFormatting sqref="N146">
    <cfRule type="expression" priority="62" dxfId="659" stopIfTrue="1">
      <formula>$J146=$C$2</formula>
    </cfRule>
    <cfRule type="expression" priority="63" dxfId="90" stopIfTrue="1">
      <formula>$J146&lt;&gt;"Serviço"</formula>
    </cfRule>
    <cfRule type="expression" priority="64" dxfId="4" stopIfTrue="1">
      <formula>CELL("proteger",N146)</formula>
    </cfRule>
  </conditionalFormatting>
  <conditionalFormatting sqref="K147">
    <cfRule type="expression" priority="44" dxfId="656" stopIfTrue="1">
      <formula>$J147=$C$2</formula>
    </cfRule>
    <cfRule type="expression" priority="45" dxfId="90" stopIfTrue="1">
      <formula>AND($J147&lt;&gt;"",$J147&lt;&gt;"Serviço")</formula>
    </cfRule>
    <cfRule type="expression" priority="46" dxfId="84" stopIfTrue="1">
      <formula>$J147=""</formula>
    </cfRule>
  </conditionalFormatting>
  <conditionalFormatting sqref="P147">
    <cfRule type="expression" priority="37" dxfId="657" stopIfTrue="1">
      <formula>$J147=$C$2</formula>
    </cfRule>
    <cfRule type="expression" priority="47" dxfId="94" stopIfTrue="1">
      <formula>AND($J147&lt;&gt;"Serviço")</formula>
    </cfRule>
    <cfRule type="expression" priority="48" dxfId="383" stopIfTrue="1">
      <formula>CELL("proteger",P147)</formula>
    </cfRule>
  </conditionalFormatting>
  <conditionalFormatting sqref="Q147:R147">
    <cfRule type="expression" priority="49" dxfId="658" stopIfTrue="1">
      <formula>$J147=$C$2</formula>
    </cfRule>
    <cfRule type="expression" priority="50" dxfId="84" stopIfTrue="1">
      <formula>$J147&lt;&gt;"Serviço"</formula>
    </cfRule>
    <cfRule type="expression" priority="51" dxfId="83" stopIfTrue="1">
      <formula>CELL("proteger",Q147)</formula>
    </cfRule>
  </conditionalFormatting>
  <conditionalFormatting sqref="S147:T147 Y147:Z147">
    <cfRule type="expression" priority="52" dxfId="656" stopIfTrue="1">
      <formula>$J147=$C$2</formula>
    </cfRule>
    <cfRule type="expression" priority="53" dxfId="90" stopIfTrue="1">
      <formula>$J147&lt;&gt;"Serviço"</formula>
    </cfRule>
  </conditionalFormatting>
  <conditionalFormatting sqref="M147">
    <cfRule type="expression" priority="54" dxfId="658" stopIfTrue="1">
      <formula>$J147=$C$2</formula>
    </cfRule>
    <cfRule type="expression" priority="55" dxfId="84" stopIfTrue="1">
      <formula>$J147&lt;&gt;"Serviço"</formula>
    </cfRule>
    <cfRule type="expression" priority="56" dxfId="83" stopIfTrue="1">
      <formula>OR(CELL("proteger",M147),$J147="",TipoOrçamento="Licitado")</formula>
    </cfRule>
  </conditionalFormatting>
  <conditionalFormatting sqref="J147">
    <cfRule type="expression" priority="57" dxfId="4" stopIfTrue="1">
      <formula>TipoOrçamento="Licitado"</formula>
    </cfRule>
  </conditionalFormatting>
  <conditionalFormatting sqref="O147">
    <cfRule type="expression" priority="38" dxfId="658" stopIfTrue="1">
      <formula>$J147=$C$2</formula>
    </cfRule>
    <cfRule type="expression" priority="39" dxfId="84" stopIfTrue="1">
      <formula>AND($J147&lt;&gt;"Serviço")</formula>
    </cfRule>
    <cfRule type="expression" priority="40" dxfId="83" stopIfTrue="1">
      <formula>CELL("proteger",O147)</formula>
    </cfRule>
  </conditionalFormatting>
  <conditionalFormatting sqref="N147">
    <cfRule type="expression" priority="41" dxfId="659" stopIfTrue="1">
      <formula>$J147=$C$2</formula>
    </cfRule>
    <cfRule type="expression" priority="42" dxfId="90" stopIfTrue="1">
      <formula>$J147&lt;&gt;"Serviço"</formula>
    </cfRule>
    <cfRule type="expression" priority="43" dxfId="4" stopIfTrue="1">
      <formula>CELL("proteger",N147)</formula>
    </cfRule>
  </conditionalFormatting>
  <conditionalFormatting sqref="L146:L147">
    <cfRule type="expression" priority="34" dxfId="658" stopIfTrue="1">
      <formula>$J146=$C$2</formula>
    </cfRule>
    <cfRule type="expression" priority="35" dxfId="84" stopIfTrue="1">
      <formula>$J146&lt;&gt;"Serviço"</formula>
    </cfRule>
    <cfRule type="expression" priority="36" dxfId="83" stopIfTrue="1">
      <formula>OR(CELL("proteger",L146),$J146="",TipoOrçamento="Licitado")</formula>
    </cfRule>
  </conditionalFormatting>
  <conditionalFormatting sqref="K153:K162">
    <cfRule type="expression" priority="20" dxfId="656" stopIfTrue="1">
      <formula>$J153=$C$2</formula>
    </cfRule>
    <cfRule type="expression" priority="21" dxfId="90" stopIfTrue="1">
      <formula>AND($J153&lt;&gt;"",$J153&lt;&gt;"Serviço")</formula>
    </cfRule>
    <cfRule type="expression" priority="22" dxfId="84" stopIfTrue="1">
      <formula>$J153=""</formula>
    </cfRule>
  </conditionalFormatting>
  <conditionalFormatting sqref="P153:P162">
    <cfRule type="expression" priority="13" dxfId="657" stopIfTrue="1">
      <formula>$J153=$C$2</formula>
    </cfRule>
    <cfRule type="expression" priority="23" dxfId="94" stopIfTrue="1">
      <formula>AND($J153&lt;&gt;"Serviço")</formula>
    </cfRule>
    <cfRule type="expression" priority="24" dxfId="383" stopIfTrue="1">
      <formula>CELL("proteger",P153)</formula>
    </cfRule>
  </conditionalFormatting>
  <conditionalFormatting sqref="Q153:R162">
    <cfRule type="expression" priority="25" dxfId="658" stopIfTrue="1">
      <formula>$J153=$C$2</formula>
    </cfRule>
    <cfRule type="expression" priority="26" dxfId="84" stopIfTrue="1">
      <formula>$J153&lt;&gt;"Serviço"</formula>
    </cfRule>
    <cfRule type="expression" priority="27" dxfId="83" stopIfTrue="1">
      <formula>CELL("proteger",Q153)</formula>
    </cfRule>
  </conditionalFormatting>
  <conditionalFormatting sqref="S153:T162 Y153:Z162">
    <cfRule type="expression" priority="28" dxfId="656" stopIfTrue="1">
      <formula>$J153=$C$2</formula>
    </cfRule>
    <cfRule type="expression" priority="29" dxfId="90" stopIfTrue="1">
      <formula>$J153&lt;&gt;"Serviço"</formula>
    </cfRule>
  </conditionalFormatting>
  <conditionalFormatting sqref="L155:M155 M153 L158:M158 M156:M157 L161:M162 M159:M160">
    <cfRule type="expression" priority="30" dxfId="658" stopIfTrue="1">
      <formula>$J153=$C$2</formula>
    </cfRule>
    <cfRule type="expression" priority="31" dxfId="84" stopIfTrue="1">
      <formula>$J153&lt;&gt;"Serviço"</formula>
    </cfRule>
    <cfRule type="expression" priority="32" dxfId="83" stopIfTrue="1">
      <formula>OR(CELL("proteger",L153),$J153="",TipoOrçamento="Licitado")</formula>
    </cfRule>
  </conditionalFormatting>
  <conditionalFormatting sqref="J153:J162">
    <cfRule type="expression" priority="33" dxfId="4" stopIfTrue="1">
      <formula>TipoOrçamento="Licitado"</formula>
    </cfRule>
  </conditionalFormatting>
  <conditionalFormatting sqref="O153:O162">
    <cfRule type="expression" priority="14" dxfId="658" stopIfTrue="1">
      <formula>$J153=$C$2</formula>
    </cfRule>
    <cfRule type="expression" priority="15" dxfId="84" stopIfTrue="1">
      <formula>AND($J153&lt;&gt;"Serviço")</formula>
    </cfRule>
    <cfRule type="expression" priority="16" dxfId="83" stopIfTrue="1">
      <formula>CELL("proteger",O153)</formula>
    </cfRule>
  </conditionalFormatting>
  <conditionalFormatting sqref="N153:N162">
    <cfRule type="expression" priority="17" dxfId="659" stopIfTrue="1">
      <formula>$J153=$C$2</formula>
    </cfRule>
    <cfRule type="expression" priority="18" dxfId="90" stopIfTrue="1">
      <formula>$J153&lt;&gt;"Serviço"</formula>
    </cfRule>
    <cfRule type="expression" priority="19" dxfId="4" stopIfTrue="1">
      <formula>CELL("proteger",N153)</formula>
    </cfRule>
  </conditionalFormatting>
  <conditionalFormatting sqref="L153:L154">
    <cfRule type="expression" priority="10" dxfId="658" stopIfTrue="1">
      <formula>$J153=$C$2</formula>
    </cfRule>
    <cfRule type="expression" priority="11" dxfId="84" stopIfTrue="1">
      <formula>$J153&lt;&gt;"Serviço"</formula>
    </cfRule>
    <cfRule type="expression" priority="12" dxfId="83" stopIfTrue="1">
      <formula>OR(CELL("proteger",L153),$J153="",TipoOrçamento="Licitado")</formula>
    </cfRule>
  </conditionalFormatting>
  <conditionalFormatting sqref="L156:L157">
    <cfRule type="expression" priority="7" dxfId="658" stopIfTrue="1">
      <formula>$J156=$C$2</formula>
    </cfRule>
    <cfRule type="expression" priority="8" dxfId="84" stopIfTrue="1">
      <formula>$J156&lt;&gt;"Serviço"</formula>
    </cfRule>
    <cfRule type="expression" priority="9" dxfId="83" stopIfTrue="1">
      <formula>OR(CELL("proteger",L156),$J156="",TipoOrçamento="Licitado")</formula>
    </cfRule>
  </conditionalFormatting>
  <conditionalFormatting sqref="L159:L160">
    <cfRule type="expression" priority="4" dxfId="658" stopIfTrue="1">
      <formula>$J159=$C$2</formula>
    </cfRule>
    <cfRule type="expression" priority="5" dxfId="84" stopIfTrue="1">
      <formula>$J159&lt;&gt;"Serviço"</formula>
    </cfRule>
    <cfRule type="expression" priority="6" dxfId="83" stopIfTrue="1">
      <formula>OR(CELL("proteger",L159),$J159="",TipoOrçamento="Licitado")</formula>
    </cfRule>
  </conditionalFormatting>
  <conditionalFormatting sqref="M154">
    <cfRule type="expression" priority="1" dxfId="658" stopIfTrue="1">
      <formula>$J154=$C$2</formula>
    </cfRule>
    <cfRule type="expression" priority="2" dxfId="84" stopIfTrue="1">
      <formula>$J154&lt;&gt;"Serviço"</formula>
    </cfRule>
    <cfRule type="expression" priority="3" dxfId="83" stopIfTrue="1">
      <formula>OR(CELL("proteger",M154),$J154="",TipoOrçamento="Licitado")</formula>
    </cfRule>
  </conditionalFormatting>
  <dataValidations count="3">
    <dataValidation type="decimal" operator="greaterThan" allowBlank="1" showInputMessage="1" showErrorMessage="1" error="Apenas números decimais maiores que zero." sqref="Q11 Q13:Q166">
      <formula1>0</formula1>
    </dataValidation>
    <dataValidation errorStyle="warning" type="list" allowBlank="1" showInputMessage="1" showErrorMessage="1" error="Selecione um dos 5 BDI da lista.&#10;&#10;Caso tenha mais de 5 BDI nesta Planilha Orçamentária digite apenas valor percentual." sqref="R11 R13:R166">
      <formula1>Dados.Lista.BDI</formula1>
    </dataValidation>
    <dataValidation type="list" showInputMessage="1" showErrorMessage="1" promptTitle="Nível:" prompt="Selecione na lista o nível de itemização da Planilha." errorTitle="Erro de Entrada" error="Selecione somente os itens da lista." sqref="J11 J14:J166">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v008   micro&amp;R&amp;P</oddFooter>
  </headerFooter>
  <ignoredErrors>
    <ignoredError sqref="K178"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Plan2">
    <tabColor rgb="FFFFFF00"/>
  </sheetPr>
  <dimension ref="A1:U173"/>
  <sheetViews>
    <sheetView showGridLines="0" zoomScale="85" zoomScaleNormal="85" zoomScaleSheetLayoutView="100" zoomScalePageLayoutView="0" workbookViewId="0" topLeftCell="A1">
      <pane xSplit="5" ySplit="10" topLeftCell="F15" activePane="bottomRight" state="frozen"/>
      <selection pane="topLeft" activeCell="A1" sqref="A1"/>
      <selection pane="topRight" activeCell="A1" sqref="A1"/>
      <selection pane="bottomLeft" activeCell="A1" sqref="A1"/>
      <selection pane="bottomRight" activeCell="B174" sqref="B1:O174"/>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75" customHeight="1">
      <c r="P4" s="20"/>
    </row>
    <row r="5" s="4" customFormat="1" ht="39.75" customHeight="1">
      <c r="P5" s="20"/>
    </row>
    <row r="6" s="4" customFormat="1" ht="20.25" customHeight="1">
      <c r="P6" s="20"/>
    </row>
    <row r="7" spans="5:16" s="4" customFormat="1" ht="12.75" customHeight="1" hidden="1">
      <c r="E7" s="224">
        <f ca="1">OFFSET(PO!$P$12,ROW($E7)-ROW(E$12),0)</f>
        <v>0</v>
      </c>
      <c r="P7" s="20"/>
    </row>
    <row r="8" s="4" customFormat="1" ht="9.75" customHeight="1">
      <c r="P8" s="20"/>
    </row>
    <row r="9" spans="2:21" s="4" customFormat="1" ht="60" customHeight="1">
      <c r="B9" s="17"/>
      <c r="C9" s="14"/>
      <c r="D9" s="9"/>
      <c r="E9" s="146" t="s">
        <v>46</v>
      </c>
      <c r="F9" s="399" t="s">
        <v>309</v>
      </c>
      <c r="G9" s="399"/>
      <c r="H9" s="399"/>
      <c r="I9" s="399"/>
      <c r="J9" s="399"/>
      <c r="K9" s="399"/>
      <c r="L9" s="399"/>
      <c r="M9" s="399"/>
      <c r="N9" s="399"/>
      <c r="O9" s="399"/>
      <c r="U9" s="122"/>
    </row>
    <row r="10" spans="1:21" s="15" customFormat="1" ht="30" customHeight="1">
      <c r="A10" s="123" t="s">
        <v>3</v>
      </c>
      <c r="B10" s="123" t="s">
        <v>147</v>
      </c>
      <c r="C10" s="123" t="s">
        <v>142</v>
      </c>
      <c r="D10" s="124" t="s">
        <v>158</v>
      </c>
      <c r="E10" s="123" t="s">
        <v>148</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f ca="1">IF(OFFSET(PO!N$12,ROW(C11)-ROW(C$12),0)=0,"",OFFSET(PO!N$12,ROW(C11)-ROW(C$12),0))</f>
      </c>
      <c r="D11" s="129">
        <f ca="1">IF(OFFSET(PO!O$12,ROW(D11)-ROW(D$12),0)=0,"",OFFSET(PO!O$12,ROW(D11)-ROW(D$12),0))</f>
      </c>
      <c r="E11" s="165">
        <f>IF($A11&lt;&gt;"Serviço",0,ROUND(SUMIF($F$9:$P$9,"&lt;&gt;",$F11:$P11),15-13*PO!$X$3))</f>
        <v>0</v>
      </c>
      <c r="F11" s="215"/>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12.75">
      <c r="A13" s="126" t="str">
        <f ca="1">OFFSET(PO!J$12,ROW(A13)-ROW($A$12),0)</f>
        <v>Meta</v>
      </c>
      <c r="B13" s="130" t="str">
        <f ca="1">IF($A13=0,"",OFFSET(PO!K$12,ROW(B13)-ROW(B$12),0))</f>
        <v>1.</v>
      </c>
      <c r="C13" s="127" t="str">
        <f ca="1">IF(OFFSET(PO!N$12,ROW(C13)-ROW(C$12),0)=0,"",OFFSET(PO!N$12,ROW(C13)-ROW(C$12),0))</f>
        <v>DEMOLIÇÕES E REMOÇÕES EM GERAL </v>
      </c>
      <c r="D13" s="129">
        <f ca="1">IF(OFFSET(PO!O$12,ROW(D13)-ROW(D$12),0)=0,"",OFFSET(PO!O$12,ROW(D13)-ROW(D$12),0))</f>
      </c>
      <c r="E13" s="165">
        <f>IF($A13&lt;&gt;"Serviço",0,ROUND(SUMIF($F$9:$P$9,"&lt;&gt;",$F13:$P13),15-13*PO!$X$3))</f>
        <v>0</v>
      </c>
      <c r="F13" s="398"/>
      <c r="G13" s="398"/>
      <c r="H13" s="398"/>
      <c r="I13" s="398"/>
      <c r="J13" s="398"/>
      <c r="K13" s="398"/>
      <c r="L13" s="398"/>
      <c r="M13" s="398"/>
      <c r="N13" s="398"/>
      <c r="O13" s="398"/>
      <c r="U13" s="215"/>
    </row>
    <row r="14" spans="1:21" s="4" customFormat="1" ht="12.75">
      <c r="A14" s="128" t="str">
        <f ca="1">OFFSET(PO!J$12,ROW(A14)-ROW($A$12),0)</f>
        <v>Nível 2</v>
      </c>
      <c r="B14" s="130" t="str">
        <f ca="1">IF($A14=0,"",OFFSET(PO!K$12,ROW(B14)-ROW(B$12),0))</f>
        <v>1.1.</v>
      </c>
      <c r="C14" s="127" t="str">
        <f ca="1">IF(OFFSET(PO!N$12,ROW(C14)-ROW(C$12),0)=0,"",OFFSET(PO!N$12,ROW(C14)-ROW(C$12),0))</f>
        <v>DEMOLIÇÕES  </v>
      </c>
      <c r="D14" s="129">
        <f ca="1">IF(OFFSET(PO!O$12,ROW(D14)-ROW(D$12),0)=0,"",OFFSET(PO!O$12,ROW(D14)-ROW(D$12),0))</f>
      </c>
      <c r="E14" s="165">
        <f>IF($A14&lt;&gt;"Serviço",0,ROUND(SUMIF($F$9:$P$9,"&lt;&gt;",$F14:$P14),15-13*PO!$X$3))</f>
        <v>0</v>
      </c>
      <c r="F14" s="398"/>
      <c r="G14" s="398"/>
      <c r="H14" s="398"/>
      <c r="I14" s="398"/>
      <c r="J14" s="398"/>
      <c r="K14" s="398"/>
      <c r="L14" s="398"/>
      <c r="M14" s="398"/>
      <c r="N14" s="398"/>
      <c r="O14" s="398"/>
      <c r="U14" s="215"/>
    </row>
    <row r="15" spans="1:21" s="4" customFormat="1" ht="25.5">
      <c r="A15" s="128" t="str">
        <f ca="1">OFFSET(PO!J$12,ROW(A15)-ROW($A$12),0)</f>
        <v>Serviço</v>
      </c>
      <c r="B15" s="130" t="str">
        <f ca="1">IF($A15=0,"",OFFSET(PO!K$12,ROW(B15)-ROW(B$12),0))</f>
        <v>1.1.1.</v>
      </c>
      <c r="C15" s="127" t="str">
        <f ca="1">IF(OFFSET(PO!N$12,ROW(C15)-ROW(C$12),0)=0,"",OFFSET(PO!N$12,ROW(C15)-ROW(C$12),0))</f>
        <v>DEMOLIÇÃO DE ALVENARIA DE BLOCO FURADO, DE FORMA MANUAL, SEM REAPROVEITAMENTO. AF_09/2023</v>
      </c>
      <c r="D15" s="129" t="str">
        <f ca="1">IF(OFFSET(PO!O$12,ROW(D15)-ROW(D$12),0)=0,"",OFFSET(PO!O$12,ROW(D15)-ROW(D$12),0))</f>
        <v>M3</v>
      </c>
      <c r="E15" s="165">
        <f>IF($A15&lt;&gt;"Serviço",0,ROUND(SUMIF($F$9:$P$9,"&lt;&gt;",$F15:$P15),15-13*PO!$X$3))</f>
        <v>13.17</v>
      </c>
      <c r="F15" s="398">
        <v>13.17</v>
      </c>
      <c r="G15" s="398"/>
      <c r="H15" s="398"/>
      <c r="I15" s="398"/>
      <c r="J15" s="398"/>
      <c r="K15" s="398"/>
      <c r="L15" s="398"/>
      <c r="M15" s="398"/>
      <c r="N15" s="398"/>
      <c r="O15" s="398"/>
      <c r="U15" s="215"/>
    </row>
    <row r="16" spans="1:21" s="4" customFormat="1" ht="25.5">
      <c r="A16" s="128" t="str">
        <f ca="1">OFFSET(PO!J$12,ROW(A16)-ROW($A$12),0)</f>
        <v>Serviço</v>
      </c>
      <c r="B16" s="130" t="str">
        <f ca="1">IF($A16=0,"",OFFSET(PO!K$12,ROW(B16)-ROW(B$12),0))</f>
        <v>1.1.2.</v>
      </c>
      <c r="C16" s="127" t="str">
        <f ca="1">IF(OFFSET(PO!N$12,ROW(C16)-ROW(C$12),0)=0,"",OFFSET(PO!N$12,ROW(C16)-ROW(C$12),0))</f>
        <v>REMOÇÃO DE CHAPAS E PERFIS DE DRYWALL, DE FORMA MANUAL, SEM REAPROVEITAMENTO. AF_09/2023</v>
      </c>
      <c r="D16" s="129" t="str">
        <f ca="1">IF(OFFSET(PO!O$12,ROW(D16)-ROW(D$12),0)=0,"",OFFSET(PO!O$12,ROW(D16)-ROW(D$12),0))</f>
        <v>M2</v>
      </c>
      <c r="E16" s="165">
        <f>IF($A16&lt;&gt;"Serviço",0,ROUND(SUMIF($F$9:$P$9,"&lt;&gt;",$F16:$P16),15-13*PO!$X$3))</f>
        <v>13.22</v>
      </c>
      <c r="F16" s="398">
        <v>13.22</v>
      </c>
      <c r="G16" s="398"/>
      <c r="H16" s="398"/>
      <c r="I16" s="398"/>
      <c r="J16" s="398"/>
      <c r="K16" s="398"/>
      <c r="L16" s="398"/>
      <c r="M16" s="398"/>
      <c r="N16" s="398"/>
      <c r="O16" s="398"/>
      <c r="U16" s="215"/>
    </row>
    <row r="17" spans="1:21" s="4" customFormat="1" ht="25.5">
      <c r="A17" s="128" t="str">
        <f ca="1">OFFSET(PO!J$12,ROW(A17)-ROW($A$12),0)</f>
        <v>Serviço</v>
      </c>
      <c r="B17" s="130" t="str">
        <f ca="1">IF($A17=0,"",OFFSET(PO!K$12,ROW(B17)-ROW(B$12),0))</f>
        <v>1.1.3.</v>
      </c>
      <c r="C17" s="127" t="str">
        <f ca="1">IF(OFFSET(PO!N$12,ROW(C17)-ROW(C$12),0)=0,"",OFFSET(PO!N$12,ROW(C17)-ROW(C$12),0))</f>
        <v>DEMOLIÇÃO DE LAJES, EM CONCRETO ARMADO, DE FORMA MANUAL, SEM REAPROVEITAMENTO. AF_09/2023</v>
      </c>
      <c r="D17" s="129" t="str">
        <f ca="1">IF(OFFSET(PO!O$12,ROW(D17)-ROW(D$12),0)=0,"",OFFSET(PO!O$12,ROW(D17)-ROW(D$12),0))</f>
        <v>M3</v>
      </c>
      <c r="E17" s="165">
        <f>IF($A17&lt;&gt;"Serviço",0,ROUND(SUMIF($F$9:$P$9,"&lt;&gt;",$F17:$P17),15-13*PO!$X$3))</f>
        <v>0.9</v>
      </c>
      <c r="F17" s="398">
        <v>0.9</v>
      </c>
      <c r="G17" s="398"/>
      <c r="H17" s="398"/>
      <c r="I17" s="398"/>
      <c r="J17" s="398"/>
      <c r="K17" s="398"/>
      <c r="L17" s="398"/>
      <c r="M17" s="398"/>
      <c r="N17" s="398"/>
      <c r="O17" s="398"/>
      <c r="U17" s="215"/>
    </row>
    <row r="18" spans="1:21" s="4" customFormat="1" ht="25.5">
      <c r="A18" s="128" t="str">
        <f ca="1">OFFSET(PO!J$12,ROW(A18)-ROW($A$12),0)</f>
        <v>Serviço</v>
      </c>
      <c r="B18" s="130" t="str">
        <f ca="1">IF($A18=0,"",OFFSET(PO!K$12,ROW(B18)-ROW(B$12),0))</f>
        <v>1.1.4.</v>
      </c>
      <c r="C18" s="127" t="str">
        <f ca="1">IF(OFFSET(PO!N$12,ROW(C18)-ROW(C$12),0)=0,"",OFFSET(PO!N$12,ROW(C18)-ROW(C$12),0))</f>
        <v>ESCAVAÇÃO MANUAL DE VALA COM PROFUNDIDADE MENOR OU IGUAL A 1,30 M. AF_02/2021</v>
      </c>
      <c r="D18" s="129" t="str">
        <f ca="1">IF(OFFSET(PO!O$12,ROW(D18)-ROW(D$12),0)=0,"",OFFSET(PO!O$12,ROW(D18)-ROW(D$12),0))</f>
        <v>M3</v>
      </c>
      <c r="E18" s="165">
        <f>IF($A18&lt;&gt;"Serviço",0,ROUND(SUMIF($F$9:$P$9,"&lt;&gt;",$F18:$P18),15-13*PO!$X$3))</f>
        <v>2.25</v>
      </c>
      <c r="F18" s="398">
        <v>2.25</v>
      </c>
      <c r="G18" s="398"/>
      <c r="H18" s="398"/>
      <c r="I18" s="398"/>
      <c r="J18" s="398"/>
      <c r="K18" s="398"/>
      <c r="L18" s="398"/>
      <c r="M18" s="398"/>
      <c r="N18" s="398"/>
      <c r="O18" s="398"/>
      <c r="U18" s="215"/>
    </row>
    <row r="19" spans="1:21" s="4" customFormat="1" ht="12.75">
      <c r="A19" s="128" t="str">
        <f ca="1">OFFSET(PO!J$12,ROW(A19)-ROW($A$12),0)</f>
        <v>Nível 2</v>
      </c>
      <c r="B19" s="130" t="str">
        <f ca="1">IF($A19=0,"",OFFSET(PO!K$12,ROW(B19)-ROW(B$12),0))</f>
        <v>1.2.</v>
      </c>
      <c r="C19" s="127" t="str">
        <f ca="1">IF(OFFSET(PO!N$12,ROW(C19)-ROW(C$12),0)=0,"",OFFSET(PO!N$12,ROW(C19)-ROW(C$12),0))</f>
        <v>REMOÇÕES </v>
      </c>
      <c r="D19" s="129">
        <f ca="1">IF(OFFSET(PO!O$12,ROW(D19)-ROW(D$12),0)=0,"",OFFSET(PO!O$12,ROW(D19)-ROW(D$12),0))</f>
      </c>
      <c r="E19" s="165">
        <f>IF($A19&lt;&gt;"Serviço",0,ROUND(SUMIF($F$9:$P$9,"&lt;&gt;",$F19:$P19),15-13*PO!$X$3))</f>
        <v>0</v>
      </c>
      <c r="F19" s="398"/>
      <c r="G19" s="398"/>
      <c r="H19" s="398"/>
      <c r="I19" s="398"/>
      <c r="J19" s="398"/>
      <c r="K19" s="398"/>
      <c r="L19" s="398"/>
      <c r="M19" s="398"/>
      <c r="N19" s="398"/>
      <c r="O19" s="398"/>
      <c r="U19" s="215"/>
    </row>
    <row r="20" spans="1:21" s="4" customFormat="1" ht="38.25">
      <c r="A20" s="128" t="str">
        <f ca="1">OFFSET(PO!J$12,ROW(A20)-ROW($A$12),0)</f>
        <v>Serviço</v>
      </c>
      <c r="B20" s="130" t="str">
        <f ca="1">IF($A20=0,"",OFFSET(PO!K$12,ROW(B20)-ROW(B$12),0))</f>
        <v>1.2.1.</v>
      </c>
      <c r="C20" s="127" t="str">
        <f ca="1">IF(OFFSET(PO!N$12,ROW(C20)-ROW(C$12),0)=0,"",OFFSET(PO!N$12,ROW(C20)-ROW(C$12),0))</f>
        <v>REMOÇÃO DE CABOS ELÉTRICOS, COM SEÇÃO DE ATÉ 2,5 MM², DE FORMA MANUAL, SEM REAPROVEITAMENTO. AF_09/2023</v>
      </c>
      <c r="D20" s="129" t="str">
        <f ca="1">IF(OFFSET(PO!O$12,ROW(D20)-ROW(D$12),0)=0,"",OFFSET(PO!O$12,ROW(D20)-ROW(D$12),0))</f>
        <v>M</v>
      </c>
      <c r="E20" s="165">
        <f>IF($A20&lt;&gt;"Serviço",0,ROUND(SUMIF($F$9:$P$9,"&lt;&gt;",$F20:$P20),15-13*PO!$X$3))</f>
        <v>100</v>
      </c>
      <c r="F20" s="398">
        <v>100</v>
      </c>
      <c r="G20" s="398"/>
      <c r="H20" s="398"/>
      <c r="I20" s="398"/>
      <c r="J20" s="398"/>
      <c r="K20" s="398"/>
      <c r="L20" s="398"/>
      <c r="M20" s="398"/>
      <c r="N20" s="398"/>
      <c r="O20" s="398"/>
      <c r="U20" s="215"/>
    </row>
    <row r="21" spans="1:21" s="4" customFormat="1" ht="25.5">
      <c r="A21" s="128" t="str">
        <f ca="1">OFFSET(PO!J$12,ROW(A21)-ROW($A$12),0)</f>
        <v>Serviço</v>
      </c>
      <c r="B21" s="130" t="str">
        <f ca="1">IF($A21=0,"",OFFSET(PO!K$12,ROW(B21)-ROW(B$12),0))</f>
        <v>1.2.2.</v>
      </c>
      <c r="C21" s="127" t="str">
        <f ca="1">IF(OFFSET(PO!N$12,ROW(C21)-ROW(C$12),0)=0,"",OFFSET(PO!N$12,ROW(C21)-ROW(C$12),0))</f>
        <v>REMOÇÃO DE LUMINÁRIAS, DE FORMA MANUAL, SEM REAPROVEITAMENTO. AF_09/2023</v>
      </c>
      <c r="D21" s="129" t="str">
        <f ca="1">IF(OFFSET(PO!O$12,ROW(D21)-ROW(D$12),0)=0,"",OFFSET(PO!O$12,ROW(D21)-ROW(D$12),0))</f>
        <v>UN</v>
      </c>
      <c r="E21" s="165">
        <f>IF($A21&lt;&gt;"Serviço",0,ROUND(SUMIF($F$9:$P$9,"&lt;&gt;",$F21:$P21),15-13*PO!$X$3))</f>
        <v>10</v>
      </c>
      <c r="F21" s="398">
        <v>10</v>
      </c>
      <c r="G21" s="398"/>
      <c r="H21" s="398"/>
      <c r="I21" s="398"/>
      <c r="J21" s="398"/>
      <c r="K21" s="398"/>
      <c r="L21" s="398"/>
      <c r="M21" s="398"/>
      <c r="N21" s="398"/>
      <c r="O21" s="398"/>
      <c r="U21" s="215"/>
    </row>
    <row r="22" spans="1:21" s="4" customFormat="1" ht="25.5">
      <c r="A22" s="128" t="str">
        <f ca="1">OFFSET(PO!J$12,ROW(A22)-ROW($A$12),0)</f>
        <v>Serviço</v>
      </c>
      <c r="B22" s="130" t="str">
        <f ca="1">IF($A22=0,"",OFFSET(PO!K$12,ROW(B22)-ROW(B$12),0))</f>
        <v>1.2.3.</v>
      </c>
      <c r="C22" s="127" t="str">
        <f ca="1">IF(OFFSET(PO!N$12,ROW(C22)-ROW(C$12),0)=0,"",OFFSET(PO!N$12,ROW(C22)-ROW(C$12),0))</f>
        <v>REMOÇÃO DE METAIS SANITÁRIOS, DE FORMA MANUAL, SEM REAPROVEITAMENTO. AF_09/2023</v>
      </c>
      <c r="D22" s="129" t="str">
        <f ca="1">IF(OFFSET(PO!O$12,ROW(D22)-ROW(D$12),0)=0,"",OFFSET(PO!O$12,ROW(D22)-ROW(D$12),0))</f>
        <v>UN</v>
      </c>
      <c r="E22" s="165">
        <f>IF($A22&lt;&gt;"Serviço",0,ROUND(SUMIF($F$9:$P$9,"&lt;&gt;",$F22:$P22),15-13*PO!$X$3))</f>
        <v>8</v>
      </c>
      <c r="F22" s="398">
        <v>8</v>
      </c>
      <c r="G22" s="398"/>
      <c r="H22" s="398"/>
      <c r="I22" s="398"/>
      <c r="J22" s="398"/>
      <c r="K22" s="398"/>
      <c r="L22" s="398"/>
      <c r="M22" s="398"/>
      <c r="N22" s="398"/>
      <c r="O22" s="398"/>
      <c r="U22" s="215"/>
    </row>
    <row r="23" spans="1:21" s="4" customFormat="1" ht="25.5">
      <c r="A23" s="128" t="str">
        <f ca="1">OFFSET(PO!J$12,ROW(A23)-ROW($A$12),0)</f>
        <v>Serviço</v>
      </c>
      <c r="B23" s="130" t="str">
        <f ca="1">IF($A23=0,"",OFFSET(PO!K$12,ROW(B23)-ROW(B$12),0))</f>
        <v>1.2.4.</v>
      </c>
      <c r="C23" s="127" t="str">
        <f ca="1">IF(OFFSET(PO!N$12,ROW(C23)-ROW(C$12),0)=0,"",OFFSET(PO!N$12,ROW(C23)-ROW(C$12),0))</f>
        <v>REMOÇÃO DE PORTAS, DE FORMA MANUAL, SEM REAPROVEITAMENTO. AF_09/2023</v>
      </c>
      <c r="D23" s="129" t="str">
        <f ca="1">IF(OFFSET(PO!O$12,ROW(D23)-ROW(D$12),0)=0,"",OFFSET(PO!O$12,ROW(D23)-ROW(D$12),0))</f>
        <v>M2</v>
      </c>
      <c r="E23" s="165">
        <f>IF($A23&lt;&gt;"Serviço",0,ROUND(SUMIF($F$9:$P$9,"&lt;&gt;",$F23:$P23),15-13*PO!$X$3))</f>
        <v>16.8</v>
      </c>
      <c r="F23" s="398">
        <v>16.8</v>
      </c>
      <c r="G23" s="398"/>
      <c r="H23" s="398"/>
      <c r="I23" s="398"/>
      <c r="J23" s="398"/>
      <c r="K23" s="398"/>
      <c r="L23" s="398"/>
      <c r="M23" s="398"/>
      <c r="N23" s="398"/>
      <c r="O23" s="398"/>
      <c r="U23" s="215"/>
    </row>
    <row r="24" spans="1:21" s="4" customFormat="1" ht="25.5">
      <c r="A24" s="128" t="str">
        <f ca="1">OFFSET(PO!J$12,ROW(A24)-ROW($A$12),0)</f>
        <v>Serviço</v>
      </c>
      <c r="B24" s="130" t="str">
        <f ca="1">IF($A24=0,"",OFFSET(PO!K$12,ROW(B24)-ROW(B$12),0))</f>
        <v>1.2.5.</v>
      </c>
      <c r="C24" s="127" t="str">
        <f ca="1">IF(OFFSET(PO!N$12,ROW(C24)-ROW(C$12),0)=0,"",OFFSET(PO!N$12,ROW(C24)-ROW(C$12),0))</f>
        <v>REMOÇÃO DE JANELAS, DE FORMA MANUAL, SEM REAPROVEITAMENTO. AF_09/2023</v>
      </c>
      <c r="D24" s="129" t="str">
        <f ca="1">IF(OFFSET(PO!O$12,ROW(D24)-ROW(D$12),0)=0,"",OFFSET(PO!O$12,ROW(D24)-ROW(D$12),0))</f>
        <v>M2</v>
      </c>
      <c r="E24" s="165">
        <f>IF($A24&lt;&gt;"Serviço",0,ROUND(SUMIF($F$9:$P$9,"&lt;&gt;",$F24:$P24),15-13*PO!$X$3))</f>
        <v>22</v>
      </c>
      <c r="F24" s="398">
        <v>22</v>
      </c>
      <c r="G24" s="398"/>
      <c r="H24" s="398"/>
      <c r="I24" s="398"/>
      <c r="J24" s="398"/>
      <c r="K24" s="398"/>
      <c r="L24" s="398"/>
      <c r="M24" s="398"/>
      <c r="N24" s="398"/>
      <c r="O24" s="398"/>
      <c r="U24" s="215"/>
    </row>
    <row r="25" spans="1:21" s="4" customFormat="1" ht="25.5">
      <c r="A25" s="128" t="str">
        <f ca="1">OFFSET(PO!J$12,ROW(A25)-ROW($A$12),0)</f>
        <v>Serviço</v>
      </c>
      <c r="B25" s="130" t="str">
        <f ca="1">IF($A25=0,"",OFFSET(PO!K$12,ROW(B25)-ROW(B$12),0))</f>
        <v>1.2.6.</v>
      </c>
      <c r="C25" s="127" t="str">
        <f ca="1">IF(OFFSET(PO!N$12,ROW(C25)-ROW(C$12),0)=0,"",OFFSET(PO!N$12,ROW(C25)-ROW(C$12),0))</f>
        <v>REMOÇÃO DE FORROS DE DRYWALL, PVC E FIBROMINERAL, DE FORMA MANUAL, SEM REAPROVEITAMENTO. AF_09/2023</v>
      </c>
      <c r="D25" s="129" t="str">
        <f ca="1">IF(OFFSET(PO!O$12,ROW(D25)-ROW(D$12),0)=0,"",OFFSET(PO!O$12,ROW(D25)-ROW(D$12),0))</f>
        <v>M2</v>
      </c>
      <c r="E25" s="165">
        <f>IF($A25&lt;&gt;"Serviço",0,ROUND(SUMIF($F$9:$P$9,"&lt;&gt;",$F25:$P25),15-13*PO!$X$3))</f>
        <v>106.7</v>
      </c>
      <c r="F25" s="398">
        <v>106.7</v>
      </c>
      <c r="G25" s="398"/>
      <c r="H25" s="398"/>
      <c r="I25" s="398"/>
      <c r="J25" s="398"/>
      <c r="K25" s="398"/>
      <c r="L25" s="398"/>
      <c r="M25" s="398"/>
      <c r="N25" s="398"/>
      <c r="O25" s="398"/>
      <c r="U25" s="215"/>
    </row>
    <row r="26" spans="1:21" s="4" customFormat="1" ht="25.5">
      <c r="A26" s="128" t="str">
        <f ca="1">OFFSET(PO!J$12,ROW(A26)-ROW($A$12),0)</f>
        <v>Serviço</v>
      </c>
      <c r="B26" s="130" t="str">
        <f ca="1">IF($A26=0,"",OFFSET(PO!K$12,ROW(B26)-ROW(B$12),0))</f>
        <v>1.2.7.</v>
      </c>
      <c r="C26" s="127" t="str">
        <f ca="1">IF(OFFSET(PO!N$12,ROW(C26)-ROW(C$12),0)=0,"",OFFSET(PO!N$12,ROW(C26)-ROW(C$12),0))</f>
        <v>DEMOLIÇÃO DE REVESTIMENTO CERÂMICO, DE FORMA MANUAL, SEM REAPROVEITAMENTO. AF_09/2023</v>
      </c>
      <c r="D26" s="129" t="str">
        <f ca="1">IF(OFFSET(PO!O$12,ROW(D26)-ROW(D$12),0)=0,"",OFFSET(PO!O$12,ROW(D26)-ROW(D$12),0))</f>
        <v>M2</v>
      </c>
      <c r="E26" s="165">
        <f>IF($A26&lt;&gt;"Serviço",0,ROUND(SUMIF($F$9:$P$9,"&lt;&gt;",$F26:$P26),15-13*PO!$X$3))</f>
        <v>110.48</v>
      </c>
      <c r="F26" s="398">
        <v>110.48</v>
      </c>
      <c r="G26" s="398"/>
      <c r="H26" s="398"/>
      <c r="I26" s="398"/>
      <c r="J26" s="398"/>
      <c r="K26" s="398"/>
      <c r="L26" s="398"/>
      <c r="M26" s="398"/>
      <c r="N26" s="398"/>
      <c r="O26" s="398"/>
      <c r="U26" s="215"/>
    </row>
    <row r="27" spans="1:21" s="4" customFormat="1" ht="12.75">
      <c r="A27" s="128" t="str">
        <f ca="1">OFFSET(PO!J$12,ROW(A27)-ROW($A$12),0)</f>
        <v>Meta</v>
      </c>
      <c r="B27" s="130" t="str">
        <f ca="1">IF($A27=0,"",OFFSET(PO!K$12,ROW(B27)-ROW(B$12),0))</f>
        <v>2.</v>
      </c>
      <c r="C27" s="127" t="str">
        <f ca="1">IF(OFFSET(PO!N$12,ROW(C27)-ROW(C$12),0)=0,"",OFFSET(PO!N$12,ROW(C27)-ROW(C$12),0))</f>
        <v> ESTRUTURA DO ELEVADOR</v>
      </c>
      <c r="D27" s="129">
        <f ca="1">IF(OFFSET(PO!O$12,ROW(D27)-ROW(D$12),0)=0,"",OFFSET(PO!O$12,ROW(D27)-ROW(D$12),0))</f>
      </c>
      <c r="E27" s="165">
        <f>IF($A27&lt;&gt;"Serviço",0,ROUND(SUMIF($F$9:$P$9,"&lt;&gt;",$F27:$P27),15-13*PO!$X$3))</f>
        <v>0</v>
      </c>
      <c r="F27" s="398"/>
      <c r="G27" s="398"/>
      <c r="H27" s="398"/>
      <c r="I27" s="398"/>
      <c r="J27" s="398"/>
      <c r="K27" s="398"/>
      <c r="L27" s="398"/>
      <c r="M27" s="398"/>
      <c r="N27" s="398"/>
      <c r="O27" s="398"/>
      <c r="U27" s="215"/>
    </row>
    <row r="28" spans="1:21" s="4" customFormat="1" ht="12.75">
      <c r="A28" s="128" t="str">
        <f ca="1">OFFSET(PO!J$12,ROW(A28)-ROW($A$12),0)</f>
        <v>Nível 2</v>
      </c>
      <c r="B28" s="130" t="str">
        <f ca="1">IF($A28=0,"",OFFSET(PO!K$12,ROW(B28)-ROW(B$12),0))</f>
        <v>2.1.</v>
      </c>
      <c r="C28" s="127" t="str">
        <f ca="1">IF(OFFSET(PO!N$12,ROW(C28)-ROW(C$12),0)=0,"",OFFSET(PO!N$12,ROW(C28)-ROW(C$12),0))</f>
        <v>FUNDAÇÕES SUPERFICIAIS - ESTACAS</v>
      </c>
      <c r="D28" s="129">
        <f ca="1">IF(OFFSET(PO!O$12,ROW(D28)-ROW(D$12),0)=0,"",OFFSET(PO!O$12,ROW(D28)-ROW(D$12),0))</f>
      </c>
      <c r="E28" s="165">
        <f>IF($A28&lt;&gt;"Serviço",0,ROUND(SUMIF($F$9:$P$9,"&lt;&gt;",$F28:$P28),15-13*PO!$X$3))</f>
        <v>0</v>
      </c>
      <c r="F28" s="398"/>
      <c r="G28" s="398"/>
      <c r="H28" s="398"/>
      <c r="I28" s="398"/>
      <c r="J28" s="398"/>
      <c r="K28" s="398"/>
      <c r="L28" s="398"/>
      <c r="M28" s="398"/>
      <c r="N28" s="398"/>
      <c r="O28" s="398"/>
      <c r="U28" s="215"/>
    </row>
    <row r="29" spans="1:21" s="4" customFormat="1" ht="38.25">
      <c r="A29" s="128" t="str">
        <f ca="1">OFFSET(PO!J$12,ROW(A29)-ROW($A$12),0)</f>
        <v>Serviço</v>
      </c>
      <c r="B29" s="130" t="str">
        <f ca="1">IF($A29=0,"",OFFSET(PO!K$12,ROW(B29)-ROW(B$12),0))</f>
        <v>2.1.1.</v>
      </c>
      <c r="C29" s="127" t="str">
        <f ca="1">IF(OFFSET(PO!N$12,ROW(C29)-ROW(C$12),0)=0,"",OFFSET(PO!N$12,ROW(C29)-ROW(C$12),0))</f>
        <v>ESTACA BROCA DE CONCRETO, DIÂMETRO DE 30CM, ESCAVAÇÃO MANUAL COM TRADO CONCHA, COM ARMADURA DE ARRANQUE. AF_05/2020</v>
      </c>
      <c r="D29" s="129" t="str">
        <f ca="1">IF(OFFSET(PO!O$12,ROW(D29)-ROW(D$12),0)=0,"",OFFSET(PO!O$12,ROW(D29)-ROW(D$12),0))</f>
        <v>M</v>
      </c>
      <c r="E29" s="165">
        <f>IF($A29&lt;&gt;"Serviço",0,ROUND(SUMIF($F$9:$P$9,"&lt;&gt;",$F29:$P29),15-13*PO!$X$3))</f>
        <v>6</v>
      </c>
      <c r="F29" s="398">
        <v>6</v>
      </c>
      <c r="G29" s="398"/>
      <c r="H29" s="398"/>
      <c r="I29" s="398"/>
      <c r="J29" s="398"/>
      <c r="K29" s="398"/>
      <c r="L29" s="398"/>
      <c r="M29" s="398"/>
      <c r="N29" s="398"/>
      <c r="O29" s="398"/>
      <c r="U29" s="215"/>
    </row>
    <row r="30" spans="1:21" s="4" customFormat="1" ht="12.75">
      <c r="A30" s="128" t="str">
        <f ca="1">OFFSET(PO!J$12,ROW(A30)-ROW($A$12),0)</f>
        <v>Nível 2</v>
      </c>
      <c r="B30" s="130" t="str">
        <f ca="1">IF($A30=0,"",OFFSET(PO!K$12,ROW(B30)-ROW(B$12),0))</f>
        <v>2.2.</v>
      </c>
      <c r="C30" s="127" t="str">
        <f ca="1">IF(OFFSET(PO!N$12,ROW(C30)-ROW(C$12),0)=0,"",OFFSET(PO!N$12,ROW(C30)-ROW(C$12),0))</f>
        <v>VIGAMENTO DE BALDRAME, INTERMEDIÁRIO E FORRO</v>
      </c>
      <c r="D30" s="129">
        <f ca="1">IF(OFFSET(PO!O$12,ROW(D30)-ROW(D$12),0)=0,"",OFFSET(PO!O$12,ROW(D30)-ROW(D$12),0))</f>
      </c>
      <c r="E30" s="165">
        <f>IF($A30&lt;&gt;"Serviço",0,ROUND(SUMIF($F$9:$P$9,"&lt;&gt;",$F30:$P30),15-13*PO!$X$3))</f>
        <v>0</v>
      </c>
      <c r="F30" s="398"/>
      <c r="G30" s="398"/>
      <c r="H30" s="398"/>
      <c r="I30" s="398"/>
      <c r="J30" s="398"/>
      <c r="K30" s="398"/>
      <c r="L30" s="398"/>
      <c r="M30" s="398"/>
      <c r="N30" s="398"/>
      <c r="O30" s="398"/>
      <c r="U30" s="215"/>
    </row>
    <row r="31" spans="1:21" s="4" customFormat="1" ht="25.5">
      <c r="A31" s="128" t="str">
        <f ca="1">OFFSET(PO!J$12,ROW(A31)-ROW($A$12),0)</f>
        <v>Serviço</v>
      </c>
      <c r="B31" s="130" t="str">
        <f ca="1">IF($A31=0,"",OFFSET(PO!K$12,ROW(B31)-ROW(B$12),0))</f>
        <v>2.2.1.</v>
      </c>
      <c r="C31" s="127" t="str">
        <f ca="1">IF(OFFSET(PO!N$12,ROW(C31)-ROW(C$12),0)=0,"",OFFSET(PO!N$12,ROW(C31)-ROW(C$12),0))</f>
        <v>FABRICAÇÃO DE FÔRMA PARA VIGAS, COM MADEIRA SERRADA, E = 25 MM. AF_09/2020</v>
      </c>
      <c r="D31" s="129" t="str">
        <f ca="1">IF(OFFSET(PO!O$12,ROW(D31)-ROW(D$12),0)=0,"",OFFSET(PO!O$12,ROW(D31)-ROW(D$12),0))</f>
        <v>M2</v>
      </c>
      <c r="E31" s="165">
        <f>IF($A31&lt;&gt;"Serviço",0,ROUND(SUMIF($F$9:$P$9,"&lt;&gt;",$F31:$P31),15-13*PO!$X$3))</f>
        <v>10.26</v>
      </c>
      <c r="F31" s="398">
        <v>10.26</v>
      </c>
      <c r="G31" s="398"/>
      <c r="H31" s="398"/>
      <c r="I31" s="398"/>
      <c r="J31" s="398"/>
      <c r="K31" s="398"/>
      <c r="L31" s="398"/>
      <c r="M31" s="398"/>
      <c r="N31" s="398"/>
      <c r="O31" s="398"/>
      <c r="U31" s="215"/>
    </row>
    <row r="32" spans="1:21" s="4" customFormat="1" ht="25.5">
      <c r="A32" s="128" t="str">
        <f ca="1">OFFSET(PO!J$12,ROW(A32)-ROW($A$12),0)</f>
        <v>Serviço</v>
      </c>
      <c r="B32" s="130" t="str">
        <f ca="1">IF($A32=0,"",OFFSET(PO!K$12,ROW(B32)-ROW(B$12),0))</f>
        <v>2.2.2.</v>
      </c>
      <c r="C32" s="127" t="str">
        <f ca="1">IF(OFFSET(PO!N$12,ROW(C32)-ROW(C$12),0)=0,"",OFFSET(PO!N$12,ROW(C32)-ROW(C$12),0))</f>
        <v>ARMAÇÃO DE BLOCO, VIGA BALDRAME OU SAPATA UTILIZANDO AÇO CA-50 DE 10 MM - MONTAGEM. AF_06/2017</v>
      </c>
      <c r="D32" s="129" t="str">
        <f ca="1">IF(OFFSET(PO!O$12,ROW(D32)-ROW(D$12),0)=0,"",OFFSET(PO!O$12,ROW(D32)-ROW(D$12),0))</f>
        <v>KG</v>
      </c>
      <c r="E32" s="165">
        <f>IF($A32&lt;&gt;"Serviço",0,ROUND(SUMIF($F$9:$P$9,"&lt;&gt;",$F32:$P32),15-13*PO!$X$3))</f>
        <v>44.42</v>
      </c>
      <c r="F32" s="398">
        <v>44.42</v>
      </c>
      <c r="G32" s="398"/>
      <c r="H32" s="398"/>
      <c r="I32" s="398"/>
      <c r="J32" s="398"/>
      <c r="K32" s="398"/>
      <c r="L32" s="398"/>
      <c r="M32" s="398"/>
      <c r="N32" s="398"/>
      <c r="O32" s="398"/>
      <c r="U32" s="215"/>
    </row>
    <row r="33" spans="1:21" s="4" customFormat="1" ht="25.5">
      <c r="A33" s="128" t="str">
        <f ca="1">OFFSET(PO!J$12,ROW(A33)-ROW($A$12),0)</f>
        <v>Serviço</v>
      </c>
      <c r="B33" s="130" t="str">
        <f ca="1">IF($A33=0,"",OFFSET(PO!K$12,ROW(B33)-ROW(B$12),0))</f>
        <v>2.2.3.</v>
      </c>
      <c r="C33" s="127" t="str">
        <f ca="1">IF(OFFSET(PO!N$12,ROW(C33)-ROW(C$12),0)=0,"",OFFSET(PO!N$12,ROW(C33)-ROW(C$12),0))</f>
        <v>ARMAÇÃO DE BLOCO, VIGA BALDRAME E SAPATA UTILIZANDO AÇO CA-60 DE 5 MM - MONTAGEM. AF_06/2017</v>
      </c>
      <c r="D33" s="129" t="str">
        <f ca="1">IF(OFFSET(PO!O$12,ROW(D33)-ROW(D$12),0)=0,"",OFFSET(PO!O$12,ROW(D33)-ROW(D$12),0))</f>
        <v>KG</v>
      </c>
      <c r="E33" s="165">
        <f>IF($A33&lt;&gt;"Serviço",0,ROUND(SUMIF($F$9:$P$9,"&lt;&gt;",$F33:$P33),15-13*PO!$X$3))</f>
        <v>17.08</v>
      </c>
      <c r="F33" s="398">
        <v>17.08</v>
      </c>
      <c r="G33" s="398"/>
      <c r="H33" s="398"/>
      <c r="I33" s="398"/>
      <c r="J33" s="398"/>
      <c r="K33" s="398"/>
      <c r="L33" s="398"/>
      <c r="M33" s="398"/>
      <c r="N33" s="398"/>
      <c r="O33" s="398"/>
      <c r="U33" s="215"/>
    </row>
    <row r="34" spans="1:21" s="4" customFormat="1" ht="38.25">
      <c r="A34" s="128" t="str">
        <f ca="1">OFFSET(PO!J$12,ROW(A34)-ROW($A$12),0)</f>
        <v>Serviço</v>
      </c>
      <c r="B34" s="130" t="str">
        <f ca="1">IF($A34=0,"",OFFSET(PO!K$12,ROW(B34)-ROW(B$12),0))</f>
        <v>2.2.4.</v>
      </c>
      <c r="C34" s="127" t="str">
        <f ca="1">IF(OFFSET(PO!N$12,ROW(C34)-ROW(C$12),0)=0,"",OFFSET(PO!N$12,ROW(C34)-ROW(C$12),0))</f>
        <v>CONCRETO FCK = 20MPA, TRAÇO 1:2,7:3 (EM MASSA SECA DE CIMENTO/ AREIA MÉDIA/ BRITA 1) - PREPARO MECÂNICO COM BETONEIRA 400 L. AF_05/2021</v>
      </c>
      <c r="D34" s="129" t="str">
        <f ca="1">IF(OFFSET(PO!O$12,ROW(D34)-ROW(D$12),0)=0,"",OFFSET(PO!O$12,ROW(D34)-ROW(D$12),0))</f>
        <v>M3</v>
      </c>
      <c r="E34" s="165">
        <f>IF($A34&lt;&gt;"Serviço",0,ROUND(SUMIF($F$9:$P$9,"&lt;&gt;",$F34:$P34),15-13*PO!$X$3))</f>
        <v>0.81</v>
      </c>
      <c r="F34" s="398">
        <v>0.81</v>
      </c>
      <c r="G34" s="398"/>
      <c r="H34" s="398"/>
      <c r="I34" s="398"/>
      <c r="J34" s="398"/>
      <c r="K34" s="398"/>
      <c r="L34" s="398"/>
      <c r="M34" s="398"/>
      <c r="N34" s="398"/>
      <c r="O34" s="398"/>
      <c r="U34" s="215"/>
    </row>
    <row r="35" spans="1:21" s="4" customFormat="1" ht="25.5">
      <c r="A35" s="128" t="str">
        <f ca="1">OFFSET(PO!J$12,ROW(A35)-ROW($A$12),0)</f>
        <v>Serviço</v>
      </c>
      <c r="B35" s="130" t="str">
        <f ca="1">IF($A35=0,"",OFFSET(PO!K$12,ROW(B35)-ROW(B$12),0))</f>
        <v>2.2.5.</v>
      </c>
      <c r="C35" s="127" t="str">
        <f ca="1">IF(OFFSET(PO!N$12,ROW(C35)-ROW(C$12),0)=0,"",OFFSET(PO!N$12,ROW(C35)-ROW(C$12),0))</f>
        <v>IMPERMEABILIZAÇÃO DE SUPERFÍCIE COM EMULSÃO ASFÁLTICA, 2 DEMÃOS. AF_09/2023</v>
      </c>
      <c r="D35" s="129" t="str">
        <f ca="1">IF(OFFSET(PO!O$12,ROW(D35)-ROW(D$12),0)=0,"",OFFSET(PO!O$12,ROW(D35)-ROW(D$12),0))</f>
        <v>M2</v>
      </c>
      <c r="E35" s="165">
        <f>IF($A35&lt;&gt;"Serviço",0,ROUND(SUMIF($F$9:$P$9,"&lt;&gt;",$F35:$P35),15-13*PO!$X$3))</f>
        <v>8.25</v>
      </c>
      <c r="F35" s="398">
        <v>8.25</v>
      </c>
      <c r="G35" s="398"/>
      <c r="H35" s="398"/>
      <c r="I35" s="398"/>
      <c r="J35" s="398"/>
      <c r="K35" s="398"/>
      <c r="L35" s="398"/>
      <c r="M35" s="398"/>
      <c r="N35" s="398"/>
      <c r="O35" s="398"/>
      <c r="U35" s="215"/>
    </row>
    <row r="36" spans="1:21" s="4" customFormat="1" ht="25.5">
      <c r="A36" s="128" t="str">
        <f ca="1">OFFSET(PO!J$12,ROW(A36)-ROW($A$12),0)</f>
        <v>Nível 2</v>
      </c>
      <c r="B36" s="130" t="str">
        <f ca="1">IF($A36=0,"",OFFSET(PO!K$12,ROW(B36)-ROW(B$12),0))</f>
        <v>2.3.</v>
      </c>
      <c r="C36" s="127" t="str">
        <f ca="1">IF(OFFSET(PO!N$12,ROW(C36)-ROW(C$12),0)=0,"",OFFSET(PO!N$12,ROW(C36)-ROW(C$12),0))</f>
        <v>EXECUÇÃO DOS PILARES DE SUSTENTAÇÃO DO ELEVADOR E LAJE</v>
      </c>
      <c r="D36" s="129">
        <f ca="1">IF(OFFSET(PO!O$12,ROW(D36)-ROW(D$12),0)=0,"",OFFSET(PO!O$12,ROW(D36)-ROW(D$12),0))</f>
      </c>
      <c r="E36" s="165">
        <f>IF($A36&lt;&gt;"Serviço",0,ROUND(SUMIF($F$9:$P$9,"&lt;&gt;",$F36:$P36),15-13*PO!$X$3))</f>
        <v>0</v>
      </c>
      <c r="F36" s="398"/>
      <c r="G36" s="398"/>
      <c r="H36" s="398"/>
      <c r="I36" s="398"/>
      <c r="J36" s="398"/>
      <c r="K36" s="398"/>
      <c r="L36" s="398"/>
      <c r="M36" s="398"/>
      <c r="N36" s="398"/>
      <c r="O36" s="398"/>
      <c r="U36" s="215"/>
    </row>
    <row r="37" spans="1:21" s="4" customFormat="1" ht="25.5">
      <c r="A37" s="128" t="str">
        <f ca="1">OFFSET(PO!J$12,ROW(A37)-ROW($A$12),0)</f>
        <v>Serviço</v>
      </c>
      <c r="B37" s="130" t="str">
        <f ca="1">IF($A37=0,"",OFFSET(PO!K$12,ROW(B37)-ROW(B$12),0))</f>
        <v>2.3.1.</v>
      </c>
      <c r="C37" s="127" t="str">
        <f ca="1">IF(OFFSET(PO!N$12,ROW(C37)-ROW(C$12),0)=0,"",OFFSET(PO!N$12,ROW(C37)-ROW(C$12),0))</f>
        <v>FABRICAÇÃO DE FÔRMA PARA PILARES E ESTRUTURAS SIMILARES, EM MADEIRA SERRADA, E=25 MM. AF_09/2020</v>
      </c>
      <c r="D37" s="129" t="str">
        <f ca="1">IF(OFFSET(PO!O$12,ROW(D37)-ROW(D$12),0)=0,"",OFFSET(PO!O$12,ROW(D37)-ROW(D$12),0))</f>
        <v>M2</v>
      </c>
      <c r="E37" s="165">
        <f>IF($A37&lt;&gt;"Serviço",0,ROUND(SUMIF($F$9:$P$9,"&lt;&gt;",$F37:$P37),15-13*PO!$X$3))</f>
        <v>27.2</v>
      </c>
      <c r="F37" s="398">
        <v>27.2</v>
      </c>
      <c r="G37" s="398"/>
      <c r="H37" s="398"/>
      <c r="I37" s="398"/>
      <c r="J37" s="398"/>
      <c r="K37" s="398"/>
      <c r="L37" s="398"/>
      <c r="M37" s="398"/>
      <c r="N37" s="398"/>
      <c r="O37" s="398"/>
      <c r="U37" s="215"/>
    </row>
    <row r="38" spans="1:21" s="4" customFormat="1" ht="38.25">
      <c r="A38" s="128" t="str">
        <f ca="1">OFFSET(PO!J$12,ROW(A38)-ROW($A$12),0)</f>
        <v>Serviço</v>
      </c>
      <c r="B38" s="130" t="str">
        <f ca="1">IF($A38=0,"",OFFSET(PO!K$12,ROW(B38)-ROW(B$12),0))</f>
        <v>2.3.2.</v>
      </c>
      <c r="C38" s="127" t="str">
        <f ca="1">IF(OFFSET(PO!N$12,ROW(C38)-ROW(C$12),0)=0,"",OFFSET(PO!N$12,ROW(C38)-ROW(C$12),0))</f>
        <v>ARMAÇÃO DE PILAR OU VIGA DE ESTRUTURA CONVENCIONAL DE CONCRETO ARMADO UTILIZANDO AÇO CA-50 DE 12,5 MM - MONTAGEM. AF_06/2022</v>
      </c>
      <c r="D38" s="129" t="str">
        <f ca="1">IF(OFFSET(PO!O$12,ROW(D38)-ROW(D$12),0)=0,"",OFFSET(PO!O$12,ROW(D38)-ROW(D$12),0))</f>
        <v>KG</v>
      </c>
      <c r="E38" s="165">
        <f>IF($A38&lt;&gt;"Serviço",0,ROUND(SUMIF($F$9:$P$9,"&lt;&gt;",$F38:$P38),15-13*PO!$X$3))</f>
        <v>83.91</v>
      </c>
      <c r="F38" s="398">
        <v>83.91</v>
      </c>
      <c r="G38" s="398"/>
      <c r="H38" s="398"/>
      <c r="I38" s="398"/>
      <c r="J38" s="398"/>
      <c r="K38" s="398"/>
      <c r="L38" s="398"/>
      <c r="M38" s="398"/>
      <c r="N38" s="398"/>
      <c r="O38" s="398"/>
      <c r="U38" s="215"/>
    </row>
    <row r="39" spans="1:21" s="4" customFormat="1" ht="38.25">
      <c r="A39" s="128" t="str">
        <f ca="1">OFFSET(PO!J$12,ROW(A39)-ROW($A$12),0)</f>
        <v>Serviço</v>
      </c>
      <c r="B39" s="130" t="str">
        <f ca="1">IF($A39=0,"",OFFSET(PO!K$12,ROW(B39)-ROW(B$12),0))</f>
        <v>2.3.3.</v>
      </c>
      <c r="C39" s="127" t="str">
        <f ca="1">IF(OFFSET(PO!N$12,ROW(C39)-ROW(C$12),0)=0,"",OFFSET(PO!N$12,ROW(C39)-ROW(C$12),0))</f>
        <v>ARMAÇÃO DE PILAR OU VIGA DE ESTRUTURA CONVENCIONAL DE CONCRETO ARMADO UTILIZANDO AÇO CA-60 DE 5,0 MM - MONTAGEM. AF_06/2022</v>
      </c>
      <c r="D39" s="129" t="str">
        <f ca="1">IF(OFFSET(PO!O$12,ROW(D39)-ROW(D$12),0)=0,"",OFFSET(PO!O$12,ROW(D39)-ROW(D$12),0))</f>
        <v>KG</v>
      </c>
      <c r="E39" s="165">
        <f>IF($A39&lt;&gt;"Serviço",0,ROUND(SUMIF($F$9:$P$9,"&lt;&gt;",$F39:$P39),15-13*PO!$X$3))</f>
        <v>26.57</v>
      </c>
      <c r="F39" s="398">
        <v>26.57</v>
      </c>
      <c r="G39" s="398"/>
      <c r="H39" s="398"/>
      <c r="I39" s="398"/>
      <c r="J39" s="398"/>
      <c r="K39" s="398"/>
      <c r="L39" s="398"/>
      <c r="M39" s="398"/>
      <c r="N39" s="398"/>
      <c r="O39" s="398"/>
      <c r="U39" s="215"/>
    </row>
    <row r="40" spans="1:21" s="4" customFormat="1" ht="38.25">
      <c r="A40" s="128" t="str">
        <f ca="1">OFFSET(PO!J$12,ROW(A40)-ROW($A$12),0)</f>
        <v>Serviço</v>
      </c>
      <c r="B40" s="130" t="str">
        <f ca="1">IF($A40=0,"",OFFSET(PO!K$12,ROW(B40)-ROW(B$12),0))</f>
        <v>2.3.4.</v>
      </c>
      <c r="C40" s="127" t="str">
        <f ca="1">IF(OFFSET(PO!N$12,ROW(C40)-ROW(C$12),0)=0,"",OFFSET(PO!N$12,ROW(C40)-ROW(C$12),0))</f>
        <v>CONCRETO FCK = 20MPA, TRAÇO 1:2,7:3 (EM MASSA SECA DE CIMENTO/ AREIA MÉDIA/ BRITA 1) - PREPARO MECÂNICO COM BETONEIRA 400 L. AF_05/2021</v>
      </c>
      <c r="D40" s="129" t="str">
        <f ca="1">IF(OFFSET(PO!O$12,ROW(D40)-ROW(D$12),0)=0,"",OFFSET(PO!O$12,ROW(D40)-ROW(D$12),0))</f>
        <v>M3</v>
      </c>
      <c r="E40" s="165">
        <f>IF($A40&lt;&gt;"Serviço",0,ROUND(SUMIF($F$9:$P$9,"&lt;&gt;",$F40:$P40),15-13*PO!$X$3))</f>
        <v>1.36</v>
      </c>
      <c r="F40" s="398">
        <v>1.36</v>
      </c>
      <c r="G40" s="398"/>
      <c r="H40" s="398"/>
      <c r="I40" s="398"/>
      <c r="J40" s="398"/>
      <c r="K40" s="398"/>
      <c r="L40" s="398"/>
      <c r="M40" s="398"/>
      <c r="N40" s="398"/>
      <c r="O40" s="398"/>
      <c r="U40" s="215"/>
    </row>
    <row r="41" spans="1:21" s="4" customFormat="1" ht="51">
      <c r="A41" s="128" t="str">
        <f ca="1">OFFSET(PO!J$12,ROW(A41)-ROW($A$12),0)</f>
        <v>Serviço</v>
      </c>
      <c r="B41" s="130" t="str">
        <f ca="1">IF($A41=0,"",OFFSET(PO!K$12,ROW(B41)-ROW(B$12),0))</f>
        <v>2.3.5.</v>
      </c>
      <c r="C41" s="127" t="str">
        <f ca="1">IF(OFFSET(PO!N$12,ROW(C41)-ROW(C$12),0)=0,"",OFFSET(PO!N$12,ROW(C41)-ROW(C$12),0))</f>
        <v>LAJE PRÉ-MOLDADA UNIDIRECIONAL, BIAPOIADA, PARA FORRO, ENCHIMENTO EM CERÂMICA, VIGOTA CONVENCIONAL, ALTURA TOTAL DA LAJE (ENCHIMENTO+CAPA) = (8+3). AF_11/2020_PA</v>
      </c>
      <c r="D41" s="129" t="str">
        <f ca="1">IF(OFFSET(PO!O$12,ROW(D41)-ROW(D$12),0)=0,"",OFFSET(PO!O$12,ROW(D41)-ROW(D$12),0))</f>
        <v>M2</v>
      </c>
      <c r="E41" s="165">
        <f>IF($A41&lt;&gt;"Serviço",0,ROUND(SUMIF($F$9:$P$9,"&lt;&gt;",$F41:$P41),15-13*PO!$X$3))</f>
        <v>3.24</v>
      </c>
      <c r="F41" s="398">
        <v>3.24</v>
      </c>
      <c r="G41" s="398"/>
      <c r="H41" s="398"/>
      <c r="I41" s="398"/>
      <c r="J41" s="398"/>
      <c r="K41" s="398"/>
      <c r="L41" s="398"/>
      <c r="M41" s="398"/>
      <c r="N41" s="398"/>
      <c r="O41" s="398"/>
      <c r="U41" s="215"/>
    </row>
    <row r="42" spans="1:21" s="4" customFormat="1" ht="12.75">
      <c r="A42" s="128" t="str">
        <f ca="1">OFFSET(PO!J$12,ROW(A42)-ROW($A$12),0)</f>
        <v>Meta</v>
      </c>
      <c r="B42" s="130" t="str">
        <f ca="1">IF($A42=0,"",OFFSET(PO!K$12,ROW(B42)-ROW(B$12),0))</f>
        <v>3.</v>
      </c>
      <c r="C42" s="127" t="str">
        <f ca="1">IF(OFFSET(PO!N$12,ROW(C42)-ROW(C$12),0)=0,"",OFFSET(PO!N$12,ROW(C42)-ROW(C$12),0))</f>
        <v>COBERTURA E CALHAS </v>
      </c>
      <c r="D42" s="129">
        <f ca="1">IF(OFFSET(PO!O$12,ROW(D42)-ROW(D$12),0)=0,"",OFFSET(PO!O$12,ROW(D42)-ROW(D$12),0))</f>
      </c>
      <c r="E42" s="165">
        <f>IF($A42&lt;&gt;"Serviço",0,ROUND(SUMIF($F$9:$P$9,"&lt;&gt;",$F42:$P42),15-13*PO!$X$3))</f>
        <v>0</v>
      </c>
      <c r="F42" s="398"/>
      <c r="G42" s="398"/>
      <c r="H42" s="398"/>
      <c r="I42" s="398"/>
      <c r="J42" s="398"/>
      <c r="K42" s="398"/>
      <c r="L42" s="398"/>
      <c r="M42" s="398"/>
      <c r="N42" s="398"/>
      <c r="O42" s="398"/>
      <c r="U42" s="215"/>
    </row>
    <row r="43" spans="1:21" s="4" customFormat="1" ht="25.5">
      <c r="A43" s="128" t="str">
        <f ca="1">OFFSET(PO!J$12,ROW(A43)-ROW($A$12),0)</f>
        <v>Serviço</v>
      </c>
      <c r="B43" s="130" t="str">
        <f ca="1">IF($A43=0,"",OFFSET(PO!K$12,ROW(B43)-ROW(B$12),0))</f>
        <v>3.0.1.</v>
      </c>
      <c r="C43" s="127" t="str">
        <f ca="1">IF(OFFSET(PO!N$12,ROW(C43)-ROW(C$12),0)=0,"",OFFSET(PO!N$12,ROW(C43)-ROW(C$12),0))</f>
        <v>RUFO EM CHAPA DE AÇO GALVANIZADO NÚMERO 24, CORTE DE 25 CM, INCLUSO TRANSPORTE VERTICAL. AF_07/2019</v>
      </c>
      <c r="D43" s="129" t="str">
        <f ca="1">IF(OFFSET(PO!O$12,ROW(D43)-ROW(D$12),0)=0,"",OFFSET(PO!O$12,ROW(D43)-ROW(D$12),0))</f>
        <v>M</v>
      </c>
      <c r="E43" s="165">
        <f>IF($A43&lt;&gt;"Serviço",0,ROUND(SUMIF($F$9:$P$9,"&lt;&gt;",$F43:$P43),15-13*PO!$X$3))</f>
        <v>6</v>
      </c>
      <c r="F43" s="398">
        <v>6</v>
      </c>
      <c r="G43" s="398"/>
      <c r="H43" s="398"/>
      <c r="I43" s="398"/>
      <c r="J43" s="398"/>
      <c r="K43" s="398"/>
      <c r="L43" s="398"/>
      <c r="M43" s="398"/>
      <c r="N43" s="398"/>
      <c r="O43" s="398"/>
      <c r="U43" s="215"/>
    </row>
    <row r="44" spans="1:21" s="4" customFormat="1" ht="38.25">
      <c r="A44" s="128" t="str">
        <f ca="1">OFFSET(PO!J$12,ROW(A44)-ROW($A$12),0)</f>
        <v>Serviço</v>
      </c>
      <c r="B44" s="130" t="str">
        <f ca="1">IF($A44=0,"",OFFSET(PO!K$12,ROW(B44)-ROW(B$12),0))</f>
        <v>3.0.2.</v>
      </c>
      <c r="C44" s="127" t="str">
        <f ca="1">IF(OFFSET(PO!N$12,ROW(C44)-ROW(C$12),0)=0,"",OFFSET(PO!N$12,ROW(C44)-ROW(C$12),0))</f>
        <v>CALHA EM CHAPA DE AÇO GALVANIZADO NÚMERO 24, DESENVOLVIMENTO DE 50 CM, INCLUSO TRANSPORTE VERTICAL. AF_07/2019</v>
      </c>
      <c r="D44" s="129" t="str">
        <f ca="1">IF(OFFSET(PO!O$12,ROW(D44)-ROW(D$12),0)=0,"",OFFSET(PO!O$12,ROW(D44)-ROW(D$12),0))</f>
        <v>M</v>
      </c>
      <c r="E44" s="165">
        <f>IF($A44&lt;&gt;"Serviço",0,ROUND(SUMIF($F$9:$P$9,"&lt;&gt;",$F44:$P44),15-13*PO!$X$3))</f>
        <v>8</v>
      </c>
      <c r="F44" s="398">
        <v>8</v>
      </c>
      <c r="G44" s="398"/>
      <c r="H44" s="398"/>
      <c r="I44" s="398"/>
      <c r="J44" s="398"/>
      <c r="K44" s="398"/>
      <c r="L44" s="398"/>
      <c r="M44" s="398"/>
      <c r="N44" s="398"/>
      <c r="O44" s="398"/>
      <c r="U44" s="215"/>
    </row>
    <row r="45" spans="1:21" s="4" customFormat="1" ht="12.75">
      <c r="A45" s="128" t="str">
        <f ca="1">OFFSET(PO!J$12,ROW(A45)-ROW($A$12),0)</f>
        <v>Meta</v>
      </c>
      <c r="B45" s="130" t="str">
        <f ca="1">IF($A45=0,"",OFFSET(PO!K$12,ROW(B45)-ROW(B$12),0))</f>
        <v>4.</v>
      </c>
      <c r="C45" s="127" t="str">
        <f ca="1">IF(OFFSET(PO!N$12,ROW(C45)-ROW(C$12),0)=0,"",OFFSET(PO!N$12,ROW(C45)-ROW(C$12),0))</f>
        <v>EXECUÇÃO DE PAREDES </v>
      </c>
      <c r="D45" s="129">
        <f ca="1">IF(OFFSET(PO!O$12,ROW(D45)-ROW(D$12),0)=0,"",OFFSET(PO!O$12,ROW(D45)-ROW(D$12),0))</f>
      </c>
      <c r="E45" s="165">
        <f>IF($A45&lt;&gt;"Serviço",0,ROUND(SUMIF($F$9:$P$9,"&lt;&gt;",$F45:$P45),15-13*PO!$X$3))</f>
        <v>0</v>
      </c>
      <c r="F45" s="398"/>
      <c r="G45" s="398"/>
      <c r="H45" s="398"/>
      <c r="I45" s="398"/>
      <c r="J45" s="398"/>
      <c r="K45" s="398"/>
      <c r="L45" s="398"/>
      <c r="M45" s="398"/>
      <c r="N45" s="398"/>
      <c r="O45" s="398"/>
      <c r="U45" s="215"/>
    </row>
    <row r="46" spans="1:21" s="4" customFormat="1" ht="51">
      <c r="A46" s="128" t="str">
        <f ca="1">OFFSET(PO!J$12,ROW(A46)-ROW($A$12),0)</f>
        <v>Serviço</v>
      </c>
      <c r="B46" s="130" t="str">
        <f ca="1">IF($A46=0,"",OFFSET(PO!K$12,ROW(B46)-ROW(B$12),0))</f>
        <v>4.0.1.</v>
      </c>
      <c r="C46" s="127" t="str">
        <f ca="1">IF(OFFSET(PO!N$12,ROW(C46)-ROW(C$12),0)=0,"",OFFSET(PO!N$12,ROW(C46)-ROW(C$12),0))</f>
        <v>ALVENARIA DE VEDAÇÃO DE BLOCOS CERÂMICOS FURADOS NA HORIZONTAL DE 11,5X19X19 CM (ESPESSURA 11,5 CM) E ARGAMASSA DE ASSENTAMENTO COM PREPARO EM BETONEIRA. AF_12/2021</v>
      </c>
      <c r="D46" s="129" t="str">
        <f ca="1">IF(OFFSET(PO!O$12,ROW(D46)-ROW(D$12),0)=0,"",OFFSET(PO!O$12,ROW(D46)-ROW(D$12),0))</f>
        <v>M2</v>
      </c>
      <c r="E46" s="165">
        <f>IF($A46&lt;&gt;"Serviço",0,ROUND(SUMIF($F$9:$P$9,"&lt;&gt;",$F46:$P46),15-13*PO!$X$3))</f>
        <v>71.06</v>
      </c>
      <c r="F46" s="398">
        <v>71.06</v>
      </c>
      <c r="G46" s="398"/>
      <c r="H46" s="398"/>
      <c r="I46" s="398"/>
      <c r="J46" s="398"/>
      <c r="K46" s="398"/>
      <c r="L46" s="398"/>
      <c r="M46" s="398"/>
      <c r="N46" s="398"/>
      <c r="O46" s="398"/>
      <c r="U46" s="215"/>
    </row>
    <row r="47" spans="1:21" s="4" customFormat="1" ht="38.25">
      <c r="A47" s="128" t="str">
        <f ca="1">OFFSET(PO!J$12,ROW(A47)-ROW($A$12),0)</f>
        <v>Serviço</v>
      </c>
      <c r="B47" s="130" t="str">
        <f ca="1">IF($A47=0,"",OFFSET(PO!K$12,ROW(B47)-ROW(B$12),0))</f>
        <v>4.0.2.</v>
      </c>
      <c r="C47" s="127" t="str">
        <f ca="1">IF(OFFSET(PO!N$12,ROW(C47)-ROW(C$12),0)=0,"",OFFSET(PO!N$12,ROW(C47)-ROW(C$12),0))</f>
        <v>ALVENARIA DE VEDAÇÃO DE BLOCOS CERÂMICOS MACIÇOS DE 5X10X20CM (ESPESSURA 10CM) E ARGAMASSA DE ASSENTAMENTO COM PREPARO EM BETONEIRA. AF_05/2020</v>
      </c>
      <c r="D47" s="129" t="str">
        <f ca="1">IF(OFFSET(PO!O$12,ROW(D47)-ROW(D$12),0)=0,"",OFFSET(PO!O$12,ROW(D47)-ROW(D$12),0))</f>
        <v>M2</v>
      </c>
      <c r="E47" s="165">
        <f>IF($A47&lt;&gt;"Serviço",0,ROUND(SUMIF($F$9:$P$9,"&lt;&gt;",$F47:$P47),15-13*PO!$X$3))</f>
        <v>6</v>
      </c>
      <c r="F47" s="398">
        <v>6</v>
      </c>
      <c r="G47" s="398"/>
      <c r="H47" s="398"/>
      <c r="I47" s="398"/>
      <c r="J47" s="398"/>
      <c r="K47" s="398"/>
      <c r="L47" s="398"/>
      <c r="M47" s="398"/>
      <c r="N47" s="398"/>
      <c r="O47" s="398"/>
      <c r="U47" s="215"/>
    </row>
    <row r="48" spans="1:21" s="4" customFormat="1" ht="51">
      <c r="A48" s="128" t="str">
        <f ca="1">OFFSET(PO!J$12,ROW(A48)-ROW($A$12),0)</f>
        <v>Serviço</v>
      </c>
      <c r="B48" s="130" t="str">
        <f ca="1">IF($A48=0,"",OFFSET(PO!K$12,ROW(B48)-ROW(B$12),0))</f>
        <v>4.0.3.</v>
      </c>
      <c r="C48" s="127" t="str">
        <f ca="1">IF(OFFSET(PO!N$12,ROW(C48)-ROW(C$12),0)=0,"",OFFSET(PO!N$12,ROW(C48)-ROW(C$12),0))</f>
        <v>PAREDE COM SISTEMA EM CHAPAS DE GESSO PARA DRYWALL, USO INTERNO COM DUAS FACES DUPLAS E ESTRUTURA METÁLICA COM GUIAS DUPLAS, SEM VÃOS. AF_07/2023_PS</v>
      </c>
      <c r="D48" s="129" t="str">
        <f ca="1">IF(OFFSET(PO!O$12,ROW(D48)-ROW(D$12),0)=0,"",OFFSET(PO!O$12,ROW(D48)-ROW(D$12),0))</f>
        <v>M2</v>
      </c>
      <c r="E48" s="165">
        <f>IF($A48&lt;&gt;"Serviço",0,ROUND(SUMIF($F$9:$P$9,"&lt;&gt;",$F48:$P48),15-13*PO!$X$3))</f>
        <v>32.64</v>
      </c>
      <c r="F48" s="398">
        <v>32.64</v>
      </c>
      <c r="G48" s="398"/>
      <c r="H48" s="398"/>
      <c r="I48" s="398"/>
      <c r="J48" s="398"/>
      <c r="K48" s="398"/>
      <c r="L48" s="398"/>
      <c r="M48" s="398"/>
      <c r="N48" s="398"/>
      <c r="O48" s="398"/>
      <c r="U48" s="215"/>
    </row>
    <row r="49" spans="1:21" s="4" customFormat="1" ht="12.75">
      <c r="A49" s="128" t="str">
        <f ca="1">OFFSET(PO!J$12,ROW(A49)-ROW($A$12),0)</f>
        <v>Meta</v>
      </c>
      <c r="B49" s="130" t="str">
        <f ca="1">IF($A49=0,"",OFFSET(PO!K$12,ROW(B49)-ROW(B$12),0))</f>
        <v>5.</v>
      </c>
      <c r="C49" s="127" t="str">
        <f ca="1">IF(OFFSET(PO!N$12,ROW(C49)-ROW(C$12),0)=0,"",OFFSET(PO!N$12,ROW(C49)-ROW(C$12),0))</f>
        <v>REBOCO INTERNO</v>
      </c>
      <c r="D49" s="129">
        <f ca="1">IF(OFFSET(PO!O$12,ROW(D49)-ROW(D$12),0)=0,"",OFFSET(PO!O$12,ROW(D49)-ROW(D$12),0))</f>
      </c>
      <c r="E49" s="165">
        <f>IF($A49&lt;&gt;"Serviço",0,ROUND(SUMIF($F$9:$P$9,"&lt;&gt;",$F49:$P49),15-13*PO!$X$3))</f>
        <v>0</v>
      </c>
      <c r="F49" s="398"/>
      <c r="G49" s="398"/>
      <c r="H49" s="398"/>
      <c r="I49" s="398"/>
      <c r="J49" s="398"/>
      <c r="K49" s="398"/>
      <c r="L49" s="398"/>
      <c r="M49" s="398"/>
      <c r="N49" s="398"/>
      <c r="O49" s="398"/>
      <c r="U49" s="215"/>
    </row>
    <row r="50" spans="1:21" s="4" customFormat="1" ht="51">
      <c r="A50" s="128" t="str">
        <f ca="1">OFFSET(PO!J$12,ROW(A50)-ROW($A$12),0)</f>
        <v>Serviço</v>
      </c>
      <c r="B50" s="130" t="str">
        <f ca="1">IF($A50=0,"",OFFSET(PO!K$12,ROW(B50)-ROW(B$12),0))</f>
        <v>5.0.1.</v>
      </c>
      <c r="C50" s="127" t="str">
        <f ca="1">IF(OFFSET(PO!N$12,ROW(C50)-ROW(C$12),0)=0,"",OFFSET(PO!N$12,ROW(C50)-ROW(C$12),0))</f>
        <v>CHAPISCO APLICADO EM ALVENARIA (COM PRESENÇA DE VÃOS) E ESTRUTURAS DE CONCRETO DE FACHADA, COM COLHER DE PEDREIRO.  ARGAMASSA TRAÇO 1:3 COM PREPARO MANUAL. AF_10/2022</v>
      </c>
      <c r="D50" s="129" t="str">
        <f ca="1">IF(OFFSET(PO!O$12,ROW(D50)-ROW(D$12),0)=0,"",OFFSET(PO!O$12,ROW(D50)-ROW(D$12),0))</f>
        <v>M2</v>
      </c>
      <c r="E50" s="165">
        <f>IF($A50&lt;&gt;"Serviço",0,ROUND(SUMIF($F$9:$P$9,"&lt;&gt;",$F50:$P50),15-13*PO!$X$3))</f>
        <v>142.12</v>
      </c>
      <c r="F50" s="398">
        <v>142.12</v>
      </c>
      <c r="G50" s="398"/>
      <c r="H50" s="398"/>
      <c r="I50" s="398"/>
      <c r="J50" s="398"/>
      <c r="K50" s="398"/>
      <c r="L50" s="398"/>
      <c r="M50" s="398"/>
      <c r="N50" s="398"/>
      <c r="O50" s="398"/>
      <c r="U50" s="215"/>
    </row>
    <row r="51" spans="1:21" s="4" customFormat="1" ht="51">
      <c r="A51" s="128" t="str">
        <f ca="1">OFFSET(PO!J$12,ROW(A51)-ROW($A$12),0)</f>
        <v>Serviço</v>
      </c>
      <c r="B51" s="130" t="str">
        <f ca="1">IF($A51=0,"",OFFSET(PO!K$12,ROW(B51)-ROW(B$12),0))</f>
        <v>5.0.2.</v>
      </c>
      <c r="C51" s="127" t="str">
        <f ca="1">IF(OFFSET(PO!N$12,ROW(C51)-ROW(C$12),0)=0,"",OFFSET(PO!N$12,ROW(C51)-ROW(C$12),0))</f>
        <v>EMBOÇO OU MASSA ÚNICA EM ARGAMASSA TRAÇO 1:2:8, PREPARO MECÂNICO COM BETONEIRA 400 L, APLICADA MANUALMENTE EM PANOS DE FACHADA COM PRESENÇA DE VÃOS, ESPESSURA DE 25 MM. AF_08/2022</v>
      </c>
      <c r="D51" s="129" t="str">
        <f ca="1">IF(OFFSET(PO!O$12,ROW(D51)-ROW(D$12),0)=0,"",OFFSET(PO!O$12,ROW(D51)-ROW(D$12),0))</f>
        <v>M2</v>
      </c>
      <c r="E51" s="165">
        <f>IF($A51&lt;&gt;"Serviço",0,ROUND(SUMIF($F$9:$P$9,"&lt;&gt;",$F51:$P51),15-13*PO!$X$3))</f>
        <v>142.12</v>
      </c>
      <c r="F51" s="398">
        <v>142.12</v>
      </c>
      <c r="G51" s="398"/>
      <c r="H51" s="398"/>
      <c r="I51" s="398"/>
      <c r="J51" s="398"/>
      <c r="K51" s="398"/>
      <c r="L51" s="398"/>
      <c r="M51" s="398"/>
      <c r="N51" s="398"/>
      <c r="O51" s="398"/>
      <c r="U51" s="215"/>
    </row>
    <row r="52" spans="1:21" s="4" customFormat="1" ht="12.75">
      <c r="A52" s="128" t="str">
        <f ca="1">OFFSET(PO!J$12,ROW(A52)-ROW($A$12),0)</f>
        <v>Serviço</v>
      </c>
      <c r="B52" s="130" t="str">
        <f ca="1">IF($A52=0,"",OFFSET(PO!K$12,ROW(B52)-ROW(B$12),0))</f>
        <v>5.0.3.</v>
      </c>
      <c r="C52" s="127" t="str">
        <f ca="1">IF(OFFSET(PO!N$12,ROW(C52)-ROW(C$12),0)=0,"",OFFSET(PO!N$12,ROW(C52)-ROW(C$12),0))</f>
        <v>REVESTIMENTO EM MASSA FINA</v>
      </c>
      <c r="D52" s="129" t="str">
        <f ca="1">IF(OFFSET(PO!O$12,ROW(D52)-ROW(D$12),0)=0,"",OFFSET(PO!O$12,ROW(D52)-ROW(D$12),0))</f>
        <v>m³</v>
      </c>
      <c r="E52" s="165">
        <f>IF($A52&lt;&gt;"Serviço",0,ROUND(SUMIF($F$9:$P$9,"&lt;&gt;",$F52:$P52),15-13*PO!$X$3))</f>
        <v>0.28</v>
      </c>
      <c r="F52" s="398">
        <v>0.28</v>
      </c>
      <c r="G52" s="398"/>
      <c r="H52" s="398"/>
      <c r="I52" s="398"/>
      <c r="J52" s="398"/>
      <c r="K52" s="398"/>
      <c r="L52" s="398"/>
      <c r="M52" s="398"/>
      <c r="N52" s="398"/>
      <c r="O52" s="398"/>
      <c r="U52" s="215"/>
    </row>
    <row r="53" spans="1:21" s="4" customFormat="1" ht="12.75">
      <c r="A53" s="128" t="str">
        <f ca="1">OFFSET(PO!J$12,ROW(A53)-ROW($A$12),0)</f>
        <v>Meta</v>
      </c>
      <c r="B53" s="130" t="str">
        <f ca="1">IF($A53=0,"",OFFSET(PO!K$12,ROW(B53)-ROW(B$12),0))</f>
        <v>6.</v>
      </c>
      <c r="C53" s="127" t="str">
        <f ca="1">IF(OFFSET(PO!N$12,ROW(C53)-ROW(C$12),0)=0,"",OFFSET(PO!N$12,ROW(C53)-ROW(C$12),0))</f>
        <v>REVESTIMENTOS</v>
      </c>
      <c r="D53" s="129">
        <f ca="1">IF(OFFSET(PO!O$12,ROW(D53)-ROW(D$12),0)=0,"",OFFSET(PO!O$12,ROW(D53)-ROW(D$12),0))</f>
      </c>
      <c r="E53" s="165">
        <f>IF($A53&lt;&gt;"Serviço",0,ROUND(SUMIF($F$9:$P$9,"&lt;&gt;",$F53:$P53),15-13*PO!$X$3))</f>
        <v>0</v>
      </c>
      <c r="F53" s="398"/>
      <c r="G53" s="398"/>
      <c r="H53" s="398"/>
      <c r="I53" s="398"/>
      <c r="J53" s="398"/>
      <c r="K53" s="398"/>
      <c r="L53" s="398"/>
      <c r="M53" s="398"/>
      <c r="N53" s="398"/>
      <c r="O53" s="398"/>
      <c r="U53" s="215"/>
    </row>
    <row r="54" spans="1:21" s="4" customFormat="1" ht="12.75">
      <c r="A54" s="128" t="str">
        <f ca="1">OFFSET(PO!J$12,ROW(A54)-ROW($A$12),0)</f>
        <v>Nível 2</v>
      </c>
      <c r="B54" s="130" t="str">
        <f ca="1">IF($A54=0,"",OFFSET(PO!K$12,ROW(B54)-ROW(B$12),0))</f>
        <v>6.1.</v>
      </c>
      <c r="C54" s="127" t="str">
        <f ca="1">IF(OFFSET(PO!N$12,ROW(C54)-ROW(C$12),0)=0,"",OFFSET(PO!N$12,ROW(C54)-ROW(C$12),0))</f>
        <v>REVESTIMENTO DO PISO INTERNO</v>
      </c>
      <c r="D54" s="129">
        <f ca="1">IF(OFFSET(PO!O$12,ROW(D54)-ROW(D$12),0)=0,"",OFFSET(PO!O$12,ROW(D54)-ROW(D$12),0))</f>
      </c>
      <c r="E54" s="165">
        <f>IF($A54&lt;&gt;"Serviço",0,ROUND(SUMIF($F$9:$P$9,"&lt;&gt;",$F54:$P54),15-13*PO!$X$3))</f>
        <v>0</v>
      </c>
      <c r="F54" s="398"/>
      <c r="G54" s="398"/>
      <c r="H54" s="398"/>
      <c r="I54" s="398"/>
      <c r="J54" s="398"/>
      <c r="K54" s="398"/>
      <c r="L54" s="398"/>
      <c r="M54" s="398"/>
      <c r="N54" s="398"/>
      <c r="O54" s="398"/>
      <c r="U54" s="215"/>
    </row>
    <row r="55" spans="1:21" s="4" customFormat="1" ht="25.5">
      <c r="A55" s="128" t="str">
        <f ca="1">OFFSET(PO!J$12,ROW(A55)-ROW($A$12),0)</f>
        <v>Serviço</v>
      </c>
      <c r="B55" s="130" t="str">
        <f ca="1">IF($A55=0,"",OFFSET(PO!K$12,ROW(B55)-ROW(B$12),0))</f>
        <v>6.1.1.</v>
      </c>
      <c r="C55" s="127" t="str">
        <f ca="1">IF(OFFSET(PO!N$12,ROW(C55)-ROW(C$12),0)=0,"",OFFSET(PO!N$12,ROW(C55)-ROW(C$12),0))</f>
        <v>PISO VINÍLICO SEMI-FLEXÍVEL EM PLACAS, PADRÃO LISO, ESPESSURA 3,2 MM, FIXADO COM COLA. AF_09/2020</v>
      </c>
      <c r="D55" s="129" t="str">
        <f ca="1">IF(OFFSET(PO!O$12,ROW(D55)-ROW(D$12),0)=0,"",OFFSET(PO!O$12,ROW(D55)-ROW(D$12),0))</f>
        <v>M2</v>
      </c>
      <c r="E55" s="165">
        <f>IF($A55&lt;&gt;"Serviço",0,ROUND(SUMIF($F$9:$P$9,"&lt;&gt;",$F55:$P55),15-13*PO!$X$3))</f>
        <v>355.3</v>
      </c>
      <c r="F55" s="398">
        <v>355.3</v>
      </c>
      <c r="G55" s="398"/>
      <c r="H55" s="398"/>
      <c r="I55" s="398"/>
      <c r="J55" s="398"/>
      <c r="K55" s="398"/>
      <c r="L55" s="398"/>
      <c r="M55" s="398"/>
      <c r="N55" s="398"/>
      <c r="O55" s="398"/>
      <c r="U55" s="215"/>
    </row>
    <row r="56" spans="1:21" s="4" customFormat="1" ht="25.5">
      <c r="A56" s="128" t="str">
        <f ca="1">OFFSET(PO!J$12,ROW(A56)-ROW($A$12),0)</f>
        <v>Serviço</v>
      </c>
      <c r="B56" s="130" t="str">
        <f ca="1">IF($A56=0,"",OFFSET(PO!K$12,ROW(B56)-ROW(B$12),0))</f>
        <v>6.1.2.</v>
      </c>
      <c r="C56" s="127" t="str">
        <f ca="1">IF(OFFSET(PO!N$12,ROW(C56)-ROW(C$12),0)=0,"",OFFSET(PO!N$12,ROW(C56)-ROW(C$12),0))</f>
        <v>SOLEIRA EM MÁRMORE, LARGURA 15 CM, ESPESSURA 2,0 CM. AF_09/2020</v>
      </c>
      <c r="D56" s="129" t="str">
        <f ca="1">IF(OFFSET(PO!O$12,ROW(D56)-ROW(D$12),0)=0,"",OFFSET(PO!O$12,ROW(D56)-ROW(D$12),0))</f>
        <v>M</v>
      </c>
      <c r="E56" s="165">
        <f>IF($A56&lt;&gt;"Serviço",0,ROUND(SUMIF($F$9:$P$9,"&lt;&gt;",$F56:$P56),15-13*PO!$X$3))</f>
        <v>21.5</v>
      </c>
      <c r="F56" s="398">
        <v>21.5</v>
      </c>
      <c r="G56" s="398"/>
      <c r="H56" s="398"/>
      <c r="I56" s="398"/>
      <c r="J56" s="398"/>
      <c r="K56" s="398"/>
      <c r="L56" s="398"/>
      <c r="M56" s="398"/>
      <c r="N56" s="398"/>
      <c r="O56" s="398"/>
      <c r="U56" s="215"/>
    </row>
    <row r="57" spans="1:21" s="4" customFormat="1" ht="12.75">
      <c r="A57" s="128" t="str">
        <f ca="1">OFFSET(PO!J$12,ROW(A57)-ROW($A$12),0)</f>
        <v>Nível 2</v>
      </c>
      <c r="B57" s="130" t="str">
        <f ca="1">IF($A57=0,"",OFFSET(PO!K$12,ROW(B57)-ROW(B$12),0))</f>
        <v>6.2.</v>
      </c>
      <c r="C57" s="127" t="str">
        <f ca="1">IF(OFFSET(PO!N$12,ROW(C57)-ROW(C$12),0)=0,"",OFFSET(PO!N$12,ROW(C57)-ROW(C$12),0))</f>
        <v>REVESTIMENTO DO PISO EXTERNO</v>
      </c>
      <c r="D57" s="129">
        <f ca="1">IF(OFFSET(PO!O$12,ROW(D57)-ROW(D$12),0)=0,"",OFFSET(PO!O$12,ROW(D57)-ROW(D$12),0))</f>
      </c>
      <c r="E57" s="165">
        <f>IF($A57&lt;&gt;"Serviço",0,ROUND(SUMIF($F$9:$P$9,"&lt;&gt;",$F57:$P57),15-13*PO!$X$3))</f>
        <v>0</v>
      </c>
      <c r="F57" s="398"/>
      <c r="G57" s="398"/>
      <c r="H57" s="398"/>
      <c r="I57" s="398"/>
      <c r="J57" s="398"/>
      <c r="K57" s="398"/>
      <c r="L57" s="398"/>
      <c r="M57" s="398"/>
      <c r="N57" s="398"/>
      <c r="O57" s="398"/>
      <c r="U57" s="215"/>
    </row>
    <row r="58" spans="1:21" s="4" customFormat="1" ht="38.25">
      <c r="A58" s="128" t="str">
        <f ca="1">OFFSET(PO!J$12,ROW(A58)-ROW($A$12),0)</f>
        <v>Serviço</v>
      </c>
      <c r="B58" s="130" t="str">
        <f ca="1">IF($A58=0,"",OFFSET(PO!K$12,ROW(B58)-ROW(B$12),0))</f>
        <v>6.2.1.</v>
      </c>
      <c r="C58" s="127" t="str">
        <f ca="1">IF(OFFSET(PO!N$12,ROW(C58)-ROW(C$12),0)=0,"",OFFSET(PO!N$12,ROW(C58)-ROW(C$12),0))</f>
        <v>REVESTIMENTO CERÂMICO PARA PISO COM PLACAS TIPO PORCELANATO DE DIMENSÕES 45X45 CM APLICADA EM AMBIENTES DE ÁREA MAIOR QUE 10 M². AF_02/2023_PE</v>
      </c>
      <c r="D58" s="129" t="str">
        <f ca="1">IF(OFFSET(PO!O$12,ROW(D58)-ROW(D$12),0)=0,"",OFFSET(PO!O$12,ROW(D58)-ROW(D$12),0))</f>
        <v>M2</v>
      </c>
      <c r="E58" s="165">
        <f>IF($A58&lt;&gt;"Serviço",0,ROUND(SUMIF($F$9:$P$9,"&lt;&gt;",$F58:$P58),15-13*PO!$X$3))</f>
        <v>55.2</v>
      </c>
      <c r="F58" s="398">
        <v>55.2</v>
      </c>
      <c r="G58" s="398"/>
      <c r="H58" s="398"/>
      <c r="I58" s="398"/>
      <c r="J58" s="398"/>
      <c r="K58" s="398"/>
      <c r="L58" s="398"/>
      <c r="M58" s="398"/>
      <c r="N58" s="398"/>
      <c r="O58" s="398"/>
      <c r="U58" s="215"/>
    </row>
    <row r="59" spans="1:21" s="4" customFormat="1" ht="25.5">
      <c r="A59" s="128" t="str">
        <f ca="1">OFFSET(PO!J$12,ROW(A59)-ROW($A$12),0)</f>
        <v>Serviço</v>
      </c>
      <c r="B59" s="130" t="str">
        <f ca="1">IF($A59=0,"",OFFSET(PO!K$12,ROW(B59)-ROW(B$12),0))</f>
        <v>6.2.2.</v>
      </c>
      <c r="C59" s="127" t="str">
        <f ca="1">IF(OFFSET(PO!N$12,ROW(C59)-ROW(C$12),0)=0,"",OFFSET(PO!N$12,ROW(C59)-ROW(C$12),0))</f>
        <v>SOLEIRA EM MÁRMORE, LARGURA 15 CM, ESPESSURA 2,0 CM. AF_09/2020</v>
      </c>
      <c r="D59" s="129" t="str">
        <f ca="1">IF(OFFSET(PO!O$12,ROW(D59)-ROW(D$12),0)=0,"",OFFSET(PO!O$12,ROW(D59)-ROW(D$12),0))</f>
        <v>M</v>
      </c>
      <c r="E59" s="165">
        <f>IF($A59&lt;&gt;"Serviço",0,ROUND(SUMIF($F$9:$P$9,"&lt;&gt;",$F59:$P59),15-13*PO!$X$3))</f>
        <v>14.5</v>
      </c>
      <c r="F59" s="398">
        <v>14.5</v>
      </c>
      <c r="G59" s="398"/>
      <c r="H59" s="398"/>
      <c r="I59" s="398"/>
      <c r="J59" s="398"/>
      <c r="K59" s="398"/>
      <c r="L59" s="398"/>
      <c r="M59" s="398"/>
      <c r="N59" s="398"/>
      <c r="O59" s="398"/>
      <c r="U59" s="215"/>
    </row>
    <row r="60" spans="1:21" s="4" customFormat="1" ht="12.75">
      <c r="A60" s="128" t="str">
        <f ca="1">OFFSET(PO!J$12,ROW(A60)-ROW($A$12),0)</f>
        <v>Nível 2</v>
      </c>
      <c r="B60" s="130" t="str">
        <f ca="1">IF($A60=0,"",OFFSET(PO!K$12,ROW(B60)-ROW(B$12),0))</f>
        <v>6.3.</v>
      </c>
      <c r="C60" s="127" t="str">
        <f ca="1">IF(OFFSET(PO!N$12,ROW(C60)-ROW(C$12),0)=0,"",OFFSET(PO!N$12,ROW(C60)-ROW(C$12),0))</f>
        <v>REVESTIMENTO DAS PAREDES INTERNAS</v>
      </c>
      <c r="D60" s="129">
        <f ca="1">IF(OFFSET(PO!O$12,ROW(D60)-ROW(D$12),0)=0,"",OFFSET(PO!O$12,ROW(D60)-ROW(D$12),0))</f>
      </c>
      <c r="E60" s="165">
        <f>IF($A60&lt;&gt;"Serviço",0,ROUND(SUMIF($F$9:$P$9,"&lt;&gt;",$F60:$P60),15-13*PO!$X$3))</f>
        <v>0</v>
      </c>
      <c r="F60" s="398"/>
      <c r="G60" s="398"/>
      <c r="H60" s="398"/>
      <c r="I60" s="398"/>
      <c r="J60" s="398"/>
      <c r="K60" s="398"/>
      <c r="L60" s="398"/>
      <c r="M60" s="398"/>
      <c r="N60" s="398"/>
      <c r="O60" s="398"/>
      <c r="U60" s="215"/>
    </row>
    <row r="61" spans="1:21" s="4" customFormat="1" ht="38.25">
      <c r="A61" s="128" t="str">
        <f ca="1">OFFSET(PO!J$12,ROW(A61)-ROW($A$12),0)</f>
        <v>Serviço</v>
      </c>
      <c r="B61" s="130" t="str">
        <f ca="1">IF($A61=0,"",OFFSET(PO!K$12,ROW(B61)-ROW(B$12),0))</f>
        <v>6.3.1.</v>
      </c>
      <c r="C61" s="127" t="str">
        <f ca="1">IF(OFFSET(PO!N$12,ROW(C61)-ROW(C$12),0)=0,"",OFFSET(PO!N$12,ROW(C61)-ROW(C$12),0))</f>
        <v>REVESTIMENTO CERÂMICO PARA PAREDES INTERNAS COM PLACAS TIPO ESMALTADA EXTRA DE DIMENSÕES 60X60 CM APLICADAS NA ALTURA INTEIRA DAS PAREDES. AF_02/2023_PE</v>
      </c>
      <c r="D61" s="129" t="str">
        <f ca="1">IF(OFFSET(PO!O$12,ROW(D61)-ROW(D$12),0)=0,"",OFFSET(PO!O$12,ROW(D61)-ROW(D$12),0))</f>
        <v>M2</v>
      </c>
      <c r="E61" s="165">
        <f>IF($A61&lt;&gt;"Serviço",0,ROUND(SUMIF($F$9:$P$9,"&lt;&gt;",$F61:$P61),15-13*PO!$X$3))</f>
        <v>35.16</v>
      </c>
      <c r="F61" s="398">
        <v>35.16</v>
      </c>
      <c r="G61" s="398"/>
      <c r="H61" s="398"/>
      <c r="I61" s="398"/>
      <c r="J61" s="398"/>
      <c r="K61" s="398"/>
      <c r="L61" s="398"/>
      <c r="M61" s="398"/>
      <c r="N61" s="398"/>
      <c r="O61" s="398"/>
      <c r="U61" s="215"/>
    </row>
    <row r="62" spans="1:21" s="4" customFormat="1" ht="12.75">
      <c r="A62" s="128" t="str">
        <f ca="1">OFFSET(PO!J$12,ROW(A62)-ROW($A$12),0)</f>
        <v>Nível 2</v>
      </c>
      <c r="B62" s="130" t="str">
        <f ca="1">IF($A62=0,"",OFFSET(PO!K$12,ROW(B62)-ROW(B$12),0))</f>
        <v>6.4.</v>
      </c>
      <c r="C62" s="127" t="str">
        <f ca="1">IF(OFFSET(PO!N$12,ROW(C62)-ROW(C$12),0)=0,"",OFFSET(PO!N$12,ROW(C62)-ROW(C$12),0))</f>
        <v>INSTALAÇÃO DE FORRO</v>
      </c>
      <c r="D62" s="129">
        <f ca="1">IF(OFFSET(PO!O$12,ROW(D62)-ROW(D$12),0)=0,"",OFFSET(PO!O$12,ROW(D62)-ROW(D$12),0))</f>
      </c>
      <c r="E62" s="165">
        <f>IF($A62&lt;&gt;"Serviço",0,ROUND(SUMIF($F$9:$P$9,"&lt;&gt;",$F62:$P62),15-13*PO!$X$3))</f>
        <v>0</v>
      </c>
      <c r="F62" s="398"/>
      <c r="G62" s="398"/>
      <c r="H62" s="398"/>
      <c r="I62" s="398"/>
      <c r="J62" s="398"/>
      <c r="K62" s="398"/>
      <c r="L62" s="398"/>
      <c r="M62" s="398"/>
      <c r="N62" s="398"/>
      <c r="O62" s="398"/>
      <c r="U62" s="215"/>
    </row>
    <row r="63" spans="1:21" s="4" customFormat="1" ht="38.25">
      <c r="A63" s="128" t="str">
        <f ca="1">OFFSET(PO!J$12,ROW(A63)-ROW($A$12),0)</f>
        <v>Serviço</v>
      </c>
      <c r="B63" s="130" t="str">
        <f ca="1">IF($A63=0,"",OFFSET(PO!K$12,ROW(B63)-ROW(B$12),0))</f>
        <v>6.4.1.</v>
      </c>
      <c r="C63" s="127" t="str">
        <f ca="1">IF(OFFSET(PO!N$12,ROW(C63)-ROW(C$12),0)=0,"",OFFSET(PO!N$12,ROW(C63)-ROW(C$12),0))</f>
        <v>FORRO EM DRYWALL, PARA AMBIENTES COMERCIAIS, INCLUSIVE ESTRUTURA BIRECIONAL DE FIXAÇÃO. AF_08/2023_PS</v>
      </c>
      <c r="D63" s="129" t="str">
        <f ca="1">IF(OFFSET(PO!O$12,ROW(D63)-ROW(D$12),0)=0,"",OFFSET(PO!O$12,ROW(D63)-ROW(D$12),0))</f>
        <v>M2</v>
      </c>
      <c r="E63" s="165">
        <f>IF($A63&lt;&gt;"Serviço",0,ROUND(SUMIF($F$9:$P$9,"&lt;&gt;",$F63:$P63),15-13*PO!$X$3))</f>
        <v>108.29</v>
      </c>
      <c r="F63" s="398">
        <v>108.29</v>
      </c>
      <c r="G63" s="398"/>
      <c r="H63" s="398"/>
      <c r="I63" s="398"/>
      <c r="J63" s="398"/>
      <c r="K63" s="398"/>
      <c r="L63" s="398"/>
      <c r="M63" s="398"/>
      <c r="N63" s="398"/>
      <c r="O63" s="398"/>
      <c r="U63" s="215"/>
    </row>
    <row r="64" spans="1:21" s="4" customFormat="1" ht="25.5">
      <c r="A64" s="128" t="str">
        <f ca="1">OFFSET(PO!J$12,ROW(A64)-ROW($A$12),0)</f>
        <v>Serviço</v>
      </c>
      <c r="B64" s="130" t="str">
        <f ca="1">IF($A64=0,"",OFFSET(PO!K$12,ROW(B64)-ROW(B$12),0))</f>
        <v>6.4.2.</v>
      </c>
      <c r="C64" s="127" t="str">
        <f ca="1">IF(OFFSET(PO!N$12,ROW(C64)-ROW(C$12),0)=0,"",OFFSET(PO!N$12,ROW(C64)-ROW(C$12),0))</f>
        <v>ESTRUTURA METÁLICA DE SUSTENTAÇÃO DA LAJE DA SALA DE OBSERVAÇÃO 01</v>
      </c>
      <c r="D64" s="129" t="str">
        <f ca="1">IF(OFFSET(PO!O$12,ROW(D64)-ROW(D$12),0)=0,"",OFFSET(PO!O$12,ROW(D64)-ROW(D$12),0))</f>
        <v>KG    </v>
      </c>
      <c r="E64" s="165">
        <f>IF($A64&lt;&gt;"Serviço",0,ROUND(SUMIF($F$9:$P$9,"&lt;&gt;",$F64:$P64),15-13*PO!$X$3))</f>
        <v>50</v>
      </c>
      <c r="F64" s="398">
        <v>50</v>
      </c>
      <c r="G64" s="398"/>
      <c r="H64" s="398"/>
      <c r="I64" s="398"/>
      <c r="J64" s="398"/>
      <c r="K64" s="398"/>
      <c r="L64" s="398"/>
      <c r="M64" s="398"/>
      <c r="N64" s="398"/>
      <c r="O64" s="398"/>
      <c r="U64" s="215"/>
    </row>
    <row r="65" spans="1:21" s="4" customFormat="1" ht="12.75">
      <c r="A65" s="128" t="str">
        <f ca="1">OFFSET(PO!J$12,ROW(A65)-ROW($A$12),0)</f>
        <v>Meta</v>
      </c>
      <c r="B65" s="130" t="str">
        <f ca="1">IF($A65=0,"",OFFSET(PO!K$12,ROW(B65)-ROW(B$12),0))</f>
        <v>7.</v>
      </c>
      <c r="C65" s="127" t="str">
        <f ca="1">IF(OFFSET(PO!N$12,ROW(C65)-ROW(C$12),0)=0,"",OFFSET(PO!N$12,ROW(C65)-ROW(C$12),0))</f>
        <v>INSTALAÇÕES EM GERAL </v>
      </c>
      <c r="D65" s="129">
        <f ca="1">IF(OFFSET(PO!O$12,ROW(D65)-ROW(D$12),0)=0,"",OFFSET(PO!O$12,ROW(D65)-ROW(D$12),0))</f>
      </c>
      <c r="E65" s="165">
        <f>IF($A65&lt;&gt;"Serviço",0,ROUND(SUMIF($F$9:$P$9,"&lt;&gt;",$F65:$P65),15-13*PO!$X$3))</f>
        <v>0</v>
      </c>
      <c r="F65" s="398"/>
      <c r="G65" s="398"/>
      <c r="H65" s="398"/>
      <c r="I65" s="398"/>
      <c r="J65" s="398"/>
      <c r="K65" s="398"/>
      <c r="L65" s="398"/>
      <c r="M65" s="398"/>
      <c r="N65" s="398"/>
      <c r="O65" s="398"/>
      <c r="U65" s="215"/>
    </row>
    <row r="66" spans="1:21" s="4" customFormat="1" ht="12.75">
      <c r="A66" s="128" t="str">
        <f ca="1">OFFSET(PO!J$12,ROW(A66)-ROW($A$12),0)</f>
        <v>Nível 2</v>
      </c>
      <c r="B66" s="130" t="str">
        <f ca="1">IF($A66=0,"",OFFSET(PO!K$12,ROW(B66)-ROW(B$12),0))</f>
        <v>7.1.</v>
      </c>
      <c r="C66" s="127" t="str">
        <f ca="1">IF(OFFSET(PO!N$12,ROW(C66)-ROW(C$12),0)=0,"",OFFSET(PO!N$12,ROW(C66)-ROW(C$12),0))</f>
        <v>INSTALAÇÕES HIDRAULICAS </v>
      </c>
      <c r="D66" s="129">
        <f ca="1">IF(OFFSET(PO!O$12,ROW(D66)-ROW(D$12),0)=0,"",OFFSET(PO!O$12,ROW(D66)-ROW(D$12),0))</f>
      </c>
      <c r="E66" s="165">
        <f>IF($A66&lt;&gt;"Serviço",0,ROUND(SUMIF($F$9:$P$9,"&lt;&gt;",$F66:$P66),15-13*PO!$X$3))</f>
        <v>0</v>
      </c>
      <c r="F66" s="398"/>
      <c r="G66" s="398"/>
      <c r="H66" s="398"/>
      <c r="I66" s="398"/>
      <c r="J66" s="398"/>
      <c r="K66" s="398"/>
      <c r="L66" s="398"/>
      <c r="M66" s="398"/>
      <c r="N66" s="398"/>
      <c r="O66" s="398"/>
      <c r="U66" s="215"/>
    </row>
    <row r="67" spans="1:21" s="4" customFormat="1" ht="12.75">
      <c r="A67" s="128" t="str">
        <f ca="1">OFFSET(PO!J$12,ROW(A67)-ROW($A$12),0)</f>
        <v>Serviço</v>
      </c>
      <c r="B67" s="130" t="str">
        <f ca="1">IF($A67=0,"",OFFSET(PO!K$12,ROW(B67)-ROW(B$12),0))</f>
        <v>7.1.1.</v>
      </c>
      <c r="C67" s="127" t="str">
        <f ca="1">IF(OFFSET(PO!N$12,ROW(C67)-ROW(C$12),0)=0,"",OFFSET(PO!N$12,ROW(C67)-ROW(C$12),0))</f>
        <v>TUBO PVC, SOLDAVEL, DE 25 MM, AGUA FRIA (NBR-5648)                                                                                                                                                                                                                                                                                                                                                                                                                                                        </v>
      </c>
      <c r="D67" s="129" t="str">
        <f ca="1">IF(OFFSET(PO!O$12,ROW(D67)-ROW(D$12),0)=0,"",OFFSET(PO!O$12,ROW(D67)-ROW(D$12),0))</f>
        <v>M     </v>
      </c>
      <c r="E67" s="165">
        <f>IF($A67&lt;&gt;"Serviço",0,ROUND(SUMIF($F$9:$P$9,"&lt;&gt;",$F67:$P67),15-13*PO!$X$3))</f>
        <v>24</v>
      </c>
      <c r="F67" s="398">
        <v>24</v>
      </c>
      <c r="G67" s="398"/>
      <c r="H67" s="398"/>
      <c r="I67" s="398"/>
      <c r="J67" s="398"/>
      <c r="K67" s="398"/>
      <c r="L67" s="398"/>
      <c r="M67" s="398"/>
      <c r="N67" s="398"/>
      <c r="O67" s="398"/>
      <c r="U67" s="215"/>
    </row>
    <row r="68" spans="1:21" s="4" customFormat="1" ht="25.5">
      <c r="A68" s="128" t="str">
        <f ca="1">OFFSET(PO!J$12,ROW(A68)-ROW($A$12),0)</f>
        <v>Serviço</v>
      </c>
      <c r="B68" s="130" t="str">
        <f ca="1">IF($A68=0,"",OFFSET(PO!K$12,ROW(B68)-ROW(B$12),0))</f>
        <v>7.1.2.</v>
      </c>
      <c r="C68" s="127" t="str">
        <f ca="1">IF(OFFSET(PO!N$12,ROW(C68)-ROW(C$12),0)=0,"",OFFSET(PO!N$12,ROW(C68)-ROW(C$12),0))</f>
        <v>TE, PVC, SOLDÁVEL, DN 25MM, INSTALADO EM PRUMADA DE ÁGUA - FORNECIMENTO E INSTALAÇÃO. AF_06/2022</v>
      </c>
      <c r="D68" s="129" t="str">
        <f ca="1">IF(OFFSET(PO!O$12,ROW(D68)-ROW(D$12),0)=0,"",OFFSET(PO!O$12,ROW(D68)-ROW(D$12),0))</f>
        <v>UN</v>
      </c>
      <c r="E68" s="165">
        <f>IF($A68&lt;&gt;"Serviço",0,ROUND(SUMIF($F$9:$P$9,"&lt;&gt;",$F68:$P68),15-13*PO!$X$3))</f>
        <v>6</v>
      </c>
      <c r="F68" s="398">
        <v>6</v>
      </c>
      <c r="G68" s="398"/>
      <c r="H68" s="398"/>
      <c r="I68" s="398"/>
      <c r="J68" s="398"/>
      <c r="K68" s="398"/>
      <c r="L68" s="398"/>
      <c r="M68" s="398"/>
      <c r="N68" s="398"/>
      <c r="O68" s="398"/>
      <c r="U68" s="215"/>
    </row>
    <row r="69" spans="1:21" s="4" customFormat="1" ht="12.75">
      <c r="A69" s="128" t="str">
        <f ca="1">OFFSET(PO!J$12,ROW(A69)-ROW($A$12),0)</f>
        <v>Serviço</v>
      </c>
      <c r="B69" s="130" t="str">
        <f ca="1">IF($A69=0,"",OFFSET(PO!K$12,ROW(B69)-ROW(B$12),0))</f>
        <v>7.1.3.</v>
      </c>
      <c r="C69" s="127" t="str">
        <f ca="1">IF(OFFSET(PO!N$12,ROW(C69)-ROW(C$12),0)=0,"",OFFSET(PO!N$12,ROW(C69)-ROW(C$12),0))</f>
        <v>LUVA PVC SOLDAVEL, 25 MM, PARA AGUA FRIA PREDIAL                                                                                                                                                                                                                                                                                                                                                                                                                                                          </v>
      </c>
      <c r="D69" s="129" t="str">
        <f ca="1">IF(OFFSET(PO!O$12,ROW(D69)-ROW(D$12),0)=0,"",OFFSET(PO!O$12,ROW(D69)-ROW(D$12),0))</f>
        <v>UN    </v>
      </c>
      <c r="E69" s="165">
        <f>IF($A69&lt;&gt;"Serviço",0,ROUND(SUMIF($F$9:$P$9,"&lt;&gt;",$F69:$P69),15-13*PO!$X$3))</f>
        <v>6</v>
      </c>
      <c r="F69" s="398">
        <v>6</v>
      </c>
      <c r="G69" s="398"/>
      <c r="H69" s="398"/>
      <c r="I69" s="398"/>
      <c r="J69" s="398"/>
      <c r="K69" s="398"/>
      <c r="L69" s="398"/>
      <c r="M69" s="398"/>
      <c r="N69" s="398"/>
      <c r="O69" s="398"/>
      <c r="U69" s="215"/>
    </row>
    <row r="70" spans="1:21" s="4" customFormat="1" ht="12.75">
      <c r="A70" s="128" t="str">
        <f ca="1">OFFSET(PO!J$12,ROW(A70)-ROW($A$12),0)</f>
        <v>Nível 2</v>
      </c>
      <c r="B70" s="130" t="str">
        <f ca="1">IF($A70=0,"",OFFSET(PO!K$12,ROW(B70)-ROW(B$12),0))</f>
        <v>7.2.</v>
      </c>
      <c r="C70" s="127" t="str">
        <f ca="1">IF(OFFSET(PO!N$12,ROW(C70)-ROW(C$12),0)=0,"",OFFSET(PO!N$12,ROW(C70)-ROW(C$12),0))</f>
        <v>INSTALAÇÕES SANITÁRIAS</v>
      </c>
      <c r="D70" s="129">
        <f ca="1">IF(OFFSET(PO!O$12,ROW(D70)-ROW(D$12),0)=0,"",OFFSET(PO!O$12,ROW(D70)-ROW(D$12),0))</f>
      </c>
      <c r="E70" s="165">
        <f>IF($A70&lt;&gt;"Serviço",0,ROUND(SUMIF($F$9:$P$9,"&lt;&gt;",$F70:$P70),15-13*PO!$X$3))</f>
        <v>0</v>
      </c>
      <c r="F70" s="398"/>
      <c r="G70" s="398"/>
      <c r="H70" s="398"/>
      <c r="I70" s="398"/>
      <c r="J70" s="398"/>
      <c r="K70" s="398"/>
      <c r="L70" s="398"/>
      <c r="M70" s="398"/>
      <c r="N70" s="398"/>
      <c r="O70" s="398"/>
      <c r="U70" s="215"/>
    </row>
    <row r="71" spans="1:21" s="4" customFormat="1" ht="38.25">
      <c r="A71" s="128" t="str">
        <f ca="1">OFFSET(PO!J$12,ROW(A71)-ROW($A$12),0)</f>
        <v>Serviço</v>
      </c>
      <c r="B71" s="130" t="str">
        <f ca="1">IF($A71=0,"",OFFSET(PO!K$12,ROW(B71)-ROW(B$12),0))</f>
        <v>7.2.1.</v>
      </c>
      <c r="C71" s="127" t="str">
        <f ca="1">IF(OFFSET(PO!N$12,ROW(C71)-ROW(C$12),0)=0,"",OFFSET(PO!N$12,ROW(C71)-ROW(C$12),0))</f>
        <v>TUBO PVC, SERIE NORMAL, ESGOTO PREDIAL, DN 100 MM, FORNECIDO E INSTALADO EM SUBCOLETOR AÉREO DE ESGOTO SANITÁRIO. AF_08/2022</v>
      </c>
      <c r="D71" s="129" t="str">
        <f ca="1">IF(OFFSET(PO!O$12,ROW(D71)-ROW(D$12),0)=0,"",OFFSET(PO!O$12,ROW(D71)-ROW(D$12),0))</f>
        <v>M</v>
      </c>
      <c r="E71" s="165">
        <f>IF($A71&lt;&gt;"Serviço",0,ROUND(SUMIF($F$9:$P$9,"&lt;&gt;",$F71:$P71),15-13*PO!$X$3))</f>
        <v>12</v>
      </c>
      <c r="F71" s="398">
        <v>12</v>
      </c>
      <c r="G71" s="398"/>
      <c r="H71" s="398"/>
      <c r="I71" s="398"/>
      <c r="J71" s="398"/>
      <c r="K71" s="398"/>
      <c r="L71" s="398"/>
      <c r="M71" s="398"/>
      <c r="N71" s="398"/>
      <c r="O71" s="398"/>
      <c r="U71" s="215"/>
    </row>
    <row r="72" spans="1:21" s="4" customFormat="1" ht="38.25">
      <c r="A72" s="128" t="str">
        <f ca="1">OFFSET(PO!J$12,ROW(A72)-ROW($A$12),0)</f>
        <v>Serviço</v>
      </c>
      <c r="B72" s="130" t="str">
        <f ca="1">IF($A72=0,"",OFFSET(PO!K$12,ROW(B72)-ROW(B$12),0))</f>
        <v>7.2.2.</v>
      </c>
      <c r="C72" s="127" t="str">
        <f ca="1">IF(OFFSET(PO!N$12,ROW(C72)-ROW(C$12),0)=0,"",OFFSET(PO!N$12,ROW(C72)-ROW(C$12),0))</f>
        <v>TUBO PVC, SERIE NORMAL, ESGOTO PREDIAL, DN 75 MM, FORNECIDO E INSTALADO EM PRUMADA DE ESGOTO SANITÁRIO OU VENTILAÇÃO. AF_08/2022</v>
      </c>
      <c r="D72" s="129" t="str">
        <f ca="1">IF(OFFSET(PO!O$12,ROW(D72)-ROW(D$12),0)=0,"",OFFSET(PO!O$12,ROW(D72)-ROW(D$12),0))</f>
        <v>M</v>
      </c>
      <c r="E72" s="165">
        <f>IF($A72&lt;&gt;"Serviço",0,ROUND(SUMIF($F$9:$P$9,"&lt;&gt;",$F72:$P72),15-13*PO!$X$3))</f>
        <v>6</v>
      </c>
      <c r="F72" s="398">
        <v>6</v>
      </c>
      <c r="G72" s="398"/>
      <c r="H72" s="398"/>
      <c r="I72" s="398"/>
      <c r="J72" s="398"/>
      <c r="K72" s="398"/>
      <c r="L72" s="398"/>
      <c r="M72" s="398"/>
      <c r="N72" s="398"/>
      <c r="O72" s="398"/>
      <c r="U72" s="215"/>
    </row>
    <row r="73" spans="1:21" s="4" customFormat="1" ht="38.25">
      <c r="A73" s="128" t="str">
        <f ca="1">OFFSET(PO!J$12,ROW(A73)-ROW($A$12),0)</f>
        <v>Serviço</v>
      </c>
      <c r="B73" s="130" t="str">
        <f ca="1">IF($A73=0,"",OFFSET(PO!K$12,ROW(B73)-ROW(B$12),0))</f>
        <v>7.2.3.</v>
      </c>
      <c r="C73" s="127" t="str">
        <f ca="1">IF(OFFSET(PO!N$12,ROW(C73)-ROW(C$12),0)=0,"",OFFSET(PO!N$12,ROW(C73)-ROW(C$12),0))</f>
        <v>TUBO PVC, SERIE NORMAL, ESGOTO PREDIAL, DN 50 MM, FORNECIDO E INSTALADO EM PRUMADA DE ESGOTO SANITÁRIO OU VENTILAÇÃO. AF_08/2022</v>
      </c>
      <c r="D73" s="129" t="str">
        <f ca="1">IF(OFFSET(PO!O$12,ROW(D73)-ROW(D$12),0)=0,"",OFFSET(PO!O$12,ROW(D73)-ROW(D$12),0))</f>
        <v>M</v>
      </c>
      <c r="E73" s="165">
        <f>IF($A73&lt;&gt;"Serviço",0,ROUND(SUMIF($F$9:$P$9,"&lt;&gt;",$F73:$P73),15-13*PO!$X$3))</f>
        <v>18</v>
      </c>
      <c r="F73" s="398">
        <v>18</v>
      </c>
      <c r="G73" s="398"/>
      <c r="H73" s="398"/>
      <c r="I73" s="398"/>
      <c r="J73" s="398"/>
      <c r="K73" s="398"/>
      <c r="L73" s="398"/>
      <c r="M73" s="398"/>
      <c r="N73" s="398"/>
      <c r="O73" s="398"/>
      <c r="U73" s="215"/>
    </row>
    <row r="74" spans="1:21" s="4" customFormat="1" ht="38.25">
      <c r="A74" s="128" t="str">
        <f ca="1">OFFSET(PO!J$12,ROW(A74)-ROW($A$12),0)</f>
        <v>Serviço</v>
      </c>
      <c r="B74" s="130" t="str">
        <f ca="1">IF($A74=0,"",OFFSET(PO!K$12,ROW(B74)-ROW(B$12),0))</f>
        <v>7.2.4.</v>
      </c>
      <c r="C74" s="127" t="str">
        <f ca="1">IF(OFFSET(PO!N$12,ROW(C74)-ROW(C$12),0)=0,"",OFFSET(PO!N$12,ROW(C74)-ROW(C$12),0))</f>
        <v>TUBO PVC, SERIE NORMAL, ESGOTO PREDIAL, DN 40 MM, FORNECIDO E INSTALADO EM RAMAL DE DESCARGA OU RAMAL DE ESGOTO SANITÁRIO. AF_08/2022</v>
      </c>
      <c r="D74" s="129" t="str">
        <f ca="1">IF(OFFSET(PO!O$12,ROW(D74)-ROW(D$12),0)=0,"",OFFSET(PO!O$12,ROW(D74)-ROW(D$12),0))</f>
        <v>M</v>
      </c>
      <c r="E74" s="165">
        <f>IF($A74&lt;&gt;"Serviço",0,ROUND(SUMIF($F$9:$P$9,"&lt;&gt;",$F74:$P74),15-13*PO!$X$3))</f>
        <v>12</v>
      </c>
      <c r="F74" s="398">
        <v>12</v>
      </c>
      <c r="G74" s="398"/>
      <c r="H74" s="398"/>
      <c r="I74" s="398"/>
      <c r="J74" s="398"/>
      <c r="K74" s="398"/>
      <c r="L74" s="398"/>
      <c r="M74" s="398"/>
      <c r="N74" s="398"/>
      <c r="O74" s="398"/>
      <c r="U74" s="215"/>
    </row>
    <row r="75" spans="1:21" s="4" customFormat="1" ht="25.5">
      <c r="A75" s="128" t="str">
        <f ca="1">OFFSET(PO!J$12,ROW(A75)-ROW($A$12),0)</f>
        <v>Serviço</v>
      </c>
      <c r="B75" s="130" t="str">
        <f ca="1">IF($A75=0,"",OFFSET(PO!K$12,ROW(B75)-ROW(B$12),0))</f>
        <v>7.2.5.</v>
      </c>
      <c r="C75" s="127" t="str">
        <f ca="1">IF(OFFSET(PO!N$12,ROW(C75)-ROW(C$12),0)=0,"",OFFSET(PO!N$12,ROW(C75)-ROW(C$12),0))</f>
        <v>JOELHO, PVC SERIE R, 90 GRAUS, DN 100 MM, PARA ESGOTO PREDIAL                                                                                                                                                                                                                                                                                                                                                                                                                                             </v>
      </c>
      <c r="D75" s="129" t="str">
        <f ca="1">IF(OFFSET(PO!O$12,ROW(D75)-ROW(D$12),0)=0,"",OFFSET(PO!O$12,ROW(D75)-ROW(D$12),0))</f>
        <v>UN    </v>
      </c>
      <c r="E75" s="165">
        <f>IF($A75&lt;&gt;"Serviço",0,ROUND(SUMIF($F$9:$P$9,"&lt;&gt;",$F75:$P75),15-13*PO!$X$3))</f>
        <v>4</v>
      </c>
      <c r="F75" s="398">
        <v>4</v>
      </c>
      <c r="G75" s="398"/>
      <c r="H75" s="398"/>
      <c r="I75" s="398"/>
      <c r="J75" s="398"/>
      <c r="K75" s="398"/>
      <c r="L75" s="398"/>
      <c r="M75" s="398"/>
      <c r="N75" s="398"/>
      <c r="O75" s="398"/>
      <c r="U75" s="215"/>
    </row>
    <row r="76" spans="1:21" s="4" customFormat="1" ht="25.5">
      <c r="A76" s="128" t="str">
        <f ca="1">OFFSET(PO!J$12,ROW(A76)-ROW($A$12),0)</f>
        <v>Serviço</v>
      </c>
      <c r="B76" s="130" t="str">
        <f ca="1">IF($A76=0,"",OFFSET(PO!K$12,ROW(B76)-ROW(B$12),0))</f>
        <v>7.2.6.</v>
      </c>
      <c r="C76" s="127" t="str">
        <f ca="1">IF(OFFSET(PO!N$12,ROW(C76)-ROW(C$12),0)=0,"",OFFSET(PO!N$12,ROW(C76)-ROW(C$12),0))</f>
        <v>JOELHO PVC, SOLDAVEL, PB, 45 GRAUS, DN 75 MM, PARA ESGOTO PREDIAL                                                                                                                                                                                                                                                                                                                                                                                                                                         </v>
      </c>
      <c r="D76" s="129" t="str">
        <f ca="1">IF(OFFSET(PO!O$12,ROW(D76)-ROW(D$12),0)=0,"",OFFSET(PO!O$12,ROW(D76)-ROW(D$12),0))</f>
        <v>UN    </v>
      </c>
      <c r="E76" s="165">
        <f>IF($A76&lt;&gt;"Serviço",0,ROUND(SUMIF($F$9:$P$9,"&lt;&gt;",$F76:$P76),15-13*PO!$X$3))</f>
        <v>4</v>
      </c>
      <c r="F76" s="398">
        <v>4</v>
      </c>
      <c r="G76" s="398"/>
      <c r="H76" s="398"/>
      <c r="I76" s="398"/>
      <c r="J76" s="398"/>
      <c r="K76" s="398"/>
      <c r="L76" s="398"/>
      <c r="M76" s="398"/>
      <c r="N76" s="398"/>
      <c r="O76" s="398"/>
      <c r="U76" s="215"/>
    </row>
    <row r="77" spans="1:21" s="4" customFormat="1" ht="25.5">
      <c r="A77" s="128" t="str">
        <f ca="1">OFFSET(PO!J$12,ROW(A77)-ROW($A$12),0)</f>
        <v>Serviço</v>
      </c>
      <c r="B77" s="130" t="str">
        <f ca="1">IF($A77=0,"",OFFSET(PO!K$12,ROW(B77)-ROW(B$12),0))</f>
        <v>7.2.7.</v>
      </c>
      <c r="C77" s="127" t="str">
        <f ca="1">IF(OFFSET(PO!N$12,ROW(C77)-ROW(C$12),0)=0,"",OFFSET(PO!N$12,ROW(C77)-ROW(C$12),0))</f>
        <v>JOELHO, PVC SERIE R, 45 GRAUS, DN 50 MM, PARA ESGOTO PREDIAL                                                                                                                                                                                                                                                                                                                                                                                                                                              </v>
      </c>
      <c r="D77" s="129" t="str">
        <f ca="1">IF(OFFSET(PO!O$12,ROW(D77)-ROW(D$12),0)=0,"",OFFSET(PO!O$12,ROW(D77)-ROW(D$12),0))</f>
        <v>UN    </v>
      </c>
      <c r="E77" s="165">
        <f>IF($A77&lt;&gt;"Serviço",0,ROUND(SUMIF($F$9:$P$9,"&lt;&gt;",$F77:$P77),15-13*PO!$X$3))</f>
        <v>4</v>
      </c>
      <c r="F77" s="398">
        <v>4</v>
      </c>
      <c r="G77" s="398"/>
      <c r="H77" s="398"/>
      <c r="I77" s="398"/>
      <c r="J77" s="398"/>
      <c r="K77" s="398"/>
      <c r="L77" s="398"/>
      <c r="M77" s="398"/>
      <c r="N77" s="398"/>
      <c r="O77" s="398"/>
      <c r="U77" s="215"/>
    </row>
    <row r="78" spans="1:21" s="4" customFormat="1" ht="25.5">
      <c r="A78" s="128" t="str">
        <f ca="1">OFFSET(PO!J$12,ROW(A78)-ROW($A$12),0)</f>
        <v>Serviço</v>
      </c>
      <c r="B78" s="130" t="str">
        <f ca="1">IF($A78=0,"",OFFSET(PO!K$12,ROW(B78)-ROW(B$12),0))</f>
        <v>7.2.8.</v>
      </c>
      <c r="C78" s="127" t="str">
        <f ca="1">IF(OFFSET(PO!N$12,ROW(C78)-ROW(C$12),0)=0,"",OFFSET(PO!N$12,ROW(C78)-ROW(C$12),0))</f>
        <v>CURVA PVC LONGA 90 GRAUS, DN 100 MM, PARA ESGOTO PREDIAL                                                                                                                                                                                                                                                                                                                                                                                                                                                  </v>
      </c>
      <c r="D78" s="129" t="str">
        <f ca="1">IF(OFFSET(PO!O$12,ROW(D78)-ROW(D$12),0)=0,"",OFFSET(PO!O$12,ROW(D78)-ROW(D$12),0))</f>
        <v>UN    </v>
      </c>
      <c r="E78" s="165">
        <f>IF($A78&lt;&gt;"Serviço",0,ROUND(SUMIF($F$9:$P$9,"&lt;&gt;",$F78:$P78),15-13*PO!$X$3))</f>
        <v>2</v>
      </c>
      <c r="F78" s="398">
        <v>2</v>
      </c>
      <c r="G78" s="398"/>
      <c r="H78" s="398"/>
      <c r="I78" s="398"/>
      <c r="J78" s="398"/>
      <c r="K78" s="398"/>
      <c r="L78" s="398"/>
      <c r="M78" s="398"/>
      <c r="N78" s="398"/>
      <c r="O78" s="398"/>
      <c r="U78" s="215"/>
    </row>
    <row r="79" spans="1:21" s="4" customFormat="1" ht="25.5">
      <c r="A79" s="128" t="str">
        <f ca="1">OFFSET(PO!J$12,ROW(A79)-ROW($A$12),0)</f>
        <v>Serviço</v>
      </c>
      <c r="B79" s="130" t="str">
        <f ca="1">IF($A79=0,"",OFFSET(PO!K$12,ROW(B79)-ROW(B$12),0))</f>
        <v>7.2.9.</v>
      </c>
      <c r="C79" s="127" t="str">
        <f ca="1">IF(OFFSET(PO!N$12,ROW(C79)-ROW(C$12),0)=0,"",OFFSET(PO!N$12,ROW(C79)-ROW(C$12),0))</f>
        <v>CURVA PVC LONGA 90 GRAUS, DN 50 MM, PARA ESGOTO PREDIAL                                                                                                                                                                                                                                                                                                                                                                                                                                                   </v>
      </c>
      <c r="D79" s="129" t="str">
        <f ca="1">IF(OFFSET(PO!O$12,ROW(D79)-ROW(D$12),0)=0,"",OFFSET(PO!O$12,ROW(D79)-ROW(D$12),0))</f>
        <v>UN    </v>
      </c>
      <c r="E79" s="165">
        <f>IF($A79&lt;&gt;"Serviço",0,ROUND(SUMIF($F$9:$P$9,"&lt;&gt;",$F79:$P79),15-13*PO!$X$3))</f>
        <v>2</v>
      </c>
      <c r="F79" s="398">
        <v>2</v>
      </c>
      <c r="G79" s="398"/>
      <c r="H79" s="398"/>
      <c r="I79" s="398"/>
      <c r="J79" s="398"/>
      <c r="K79" s="398"/>
      <c r="L79" s="398"/>
      <c r="M79" s="398"/>
      <c r="N79" s="398"/>
      <c r="O79" s="398"/>
      <c r="U79" s="215"/>
    </row>
    <row r="80" spans="1:21" s="4" customFormat="1" ht="38.25">
      <c r="A80" s="128" t="str">
        <f ca="1">OFFSET(PO!J$12,ROW(A80)-ROW($A$12),0)</f>
        <v>Serviço</v>
      </c>
      <c r="B80" s="130" t="str">
        <f ca="1">IF($A80=0,"",OFFSET(PO!K$12,ROW(B80)-ROW(B$12),0))</f>
        <v>7.2.10.</v>
      </c>
      <c r="C80" s="127" t="str">
        <f ca="1">IF(OFFSET(PO!N$12,ROW(C80)-ROW(C$12),0)=0,"",OFFSET(PO!N$12,ROW(C80)-ROW(C$12),0))</f>
        <v>LUVA DE CORRER, PVC, SERIE NORMAL, ESGOTO PREDIAL, DN 100 MM, JUNTA ELÁSTICA, FORNECIDO E INSTALADO EM SUBCOLETOR AÉREO DE ESGOTO SANITÁRIO. AF_08/2022</v>
      </c>
      <c r="D80" s="129" t="str">
        <f ca="1">IF(OFFSET(PO!O$12,ROW(D80)-ROW(D$12),0)=0,"",OFFSET(PO!O$12,ROW(D80)-ROW(D$12),0))</f>
        <v>UN</v>
      </c>
      <c r="E80" s="165">
        <f>IF($A80&lt;&gt;"Serviço",0,ROUND(SUMIF($F$9:$P$9,"&lt;&gt;",$F80:$P80),15-13*PO!$X$3))</f>
        <v>2</v>
      </c>
      <c r="F80" s="398">
        <v>2</v>
      </c>
      <c r="G80" s="398"/>
      <c r="H80" s="398"/>
      <c r="I80" s="398"/>
      <c r="J80" s="398"/>
      <c r="K80" s="398"/>
      <c r="L80" s="398"/>
      <c r="M80" s="398"/>
      <c r="N80" s="398"/>
      <c r="O80" s="398"/>
      <c r="U80" s="215"/>
    </row>
    <row r="81" spans="1:21" s="4" customFormat="1" ht="38.25">
      <c r="A81" s="128" t="str">
        <f ca="1">OFFSET(PO!J$12,ROW(A81)-ROW($A$12),0)</f>
        <v>Serviço</v>
      </c>
      <c r="B81" s="130" t="str">
        <f ca="1">IF($A81=0,"",OFFSET(PO!K$12,ROW(B81)-ROW(B$12),0))</f>
        <v>7.2.11.</v>
      </c>
      <c r="C81" s="127" t="str">
        <f ca="1">IF(OFFSET(PO!N$12,ROW(C81)-ROW(C$12),0)=0,"",OFFSET(PO!N$12,ROW(C81)-ROW(C$12),0))</f>
        <v>LUVA DE CORRER, PVC, SERIE NORMAL, ESGOTO PREDIAL, DN 75 MM, JUNTA ELÁSTICA, FORNECIDO E INSTALADO EM PRUMADA DE ESGOTO SANITÁRIO OU VENTILAÇÃO. AF_08/2022</v>
      </c>
      <c r="D81" s="129" t="str">
        <f ca="1">IF(OFFSET(PO!O$12,ROW(D81)-ROW(D$12),0)=0,"",OFFSET(PO!O$12,ROW(D81)-ROW(D$12),0))</f>
        <v>UN</v>
      </c>
      <c r="E81" s="165">
        <f>IF($A81&lt;&gt;"Serviço",0,ROUND(SUMIF($F$9:$P$9,"&lt;&gt;",$F81:$P81),15-13*PO!$X$3))</f>
        <v>3</v>
      </c>
      <c r="F81" s="398">
        <v>3</v>
      </c>
      <c r="G81" s="398"/>
      <c r="H81" s="398"/>
      <c r="I81" s="398"/>
      <c r="J81" s="398"/>
      <c r="K81" s="398"/>
      <c r="L81" s="398"/>
      <c r="M81" s="398"/>
      <c r="N81" s="398"/>
      <c r="O81" s="398"/>
      <c r="U81" s="215"/>
    </row>
    <row r="82" spans="1:21" s="4" customFormat="1" ht="38.25">
      <c r="A82" s="128" t="str">
        <f ca="1">OFFSET(PO!J$12,ROW(A82)-ROW($A$12),0)</f>
        <v>Serviço</v>
      </c>
      <c r="B82" s="130" t="str">
        <f ca="1">IF($A82=0,"",OFFSET(PO!K$12,ROW(B82)-ROW(B$12),0))</f>
        <v>7.2.12.</v>
      </c>
      <c r="C82" s="127" t="str">
        <f ca="1">IF(OFFSET(PO!N$12,ROW(C82)-ROW(C$12),0)=0,"",OFFSET(PO!N$12,ROW(C82)-ROW(C$12),0))</f>
        <v>LUVA DE CORRER, PVC, SERIE NORMAL, ESGOTO PREDIAL, DN 50 MM, JUNTA ELÁSTICA, FORNECIDO E INSTALADO EM PRUMADA DE ESGOTO SANITÁRIO OU VENTILAÇÃO. AF_08/2022</v>
      </c>
      <c r="D82" s="129" t="str">
        <f ca="1">IF(OFFSET(PO!O$12,ROW(D82)-ROW(D$12),0)=0,"",OFFSET(PO!O$12,ROW(D82)-ROW(D$12),0))</f>
        <v>UN</v>
      </c>
      <c r="E82" s="165">
        <f>IF($A82&lt;&gt;"Serviço",0,ROUND(SUMIF($F$9:$P$9,"&lt;&gt;",$F82:$P82),15-13*PO!$X$3))</f>
        <v>3</v>
      </c>
      <c r="F82" s="398">
        <v>3</v>
      </c>
      <c r="G82" s="398"/>
      <c r="H82" s="398"/>
      <c r="I82" s="398"/>
      <c r="J82" s="398"/>
      <c r="K82" s="398"/>
      <c r="L82" s="398"/>
      <c r="M82" s="398"/>
      <c r="N82" s="398"/>
      <c r="O82" s="398"/>
      <c r="U82" s="215"/>
    </row>
    <row r="83" spans="1:21" s="4" customFormat="1" ht="38.25">
      <c r="A83" s="128" t="str">
        <f ca="1">OFFSET(PO!J$12,ROW(A83)-ROW($A$12),0)</f>
        <v>Serviço</v>
      </c>
      <c r="B83" s="130" t="str">
        <f ca="1">IF($A83=0,"",OFFSET(PO!K$12,ROW(B83)-ROW(B$12),0))</f>
        <v>7.2.13.</v>
      </c>
      <c r="C83" s="127" t="str">
        <f ca="1">IF(OFFSET(PO!N$12,ROW(C83)-ROW(C$12),0)=0,"",OFFSET(PO!N$12,ROW(C83)-ROW(C$12),0))</f>
        <v>TE, PVC, SERIE NORMAL, ESGOTO PREDIAL, DN 100 X 100 MM, JUNTA ELÁSTICA, FORNECIDO E INSTALADO EM PRUMADA DE ESGOTO SANITÁRIO OU VENTILAÇÃO. AF_08/2022</v>
      </c>
      <c r="D83" s="129" t="str">
        <f ca="1">IF(OFFSET(PO!O$12,ROW(D83)-ROW(D$12),0)=0,"",OFFSET(PO!O$12,ROW(D83)-ROW(D$12),0))</f>
        <v>UN</v>
      </c>
      <c r="E83" s="165">
        <f>IF($A83&lt;&gt;"Serviço",0,ROUND(SUMIF($F$9:$P$9,"&lt;&gt;",$F83:$P83),15-13*PO!$X$3))</f>
        <v>2</v>
      </c>
      <c r="F83" s="398">
        <v>2</v>
      </c>
      <c r="G83" s="398"/>
      <c r="H83" s="398"/>
      <c r="I83" s="398"/>
      <c r="J83" s="398"/>
      <c r="K83" s="398"/>
      <c r="L83" s="398"/>
      <c r="M83" s="398"/>
      <c r="N83" s="398"/>
      <c r="O83" s="398"/>
      <c r="U83" s="215"/>
    </row>
    <row r="84" spans="1:21" s="4" customFormat="1" ht="38.25">
      <c r="A84" s="128" t="str">
        <f ca="1">OFFSET(PO!J$12,ROW(A84)-ROW($A$12),0)</f>
        <v>Serviço</v>
      </c>
      <c r="B84" s="130" t="str">
        <f ca="1">IF($A84=0,"",OFFSET(PO!K$12,ROW(B84)-ROW(B$12),0))</f>
        <v>7.2.14.</v>
      </c>
      <c r="C84" s="127" t="str">
        <f ca="1">IF(OFFSET(PO!N$12,ROW(C84)-ROW(C$12),0)=0,"",OFFSET(PO!N$12,ROW(C84)-ROW(C$12),0))</f>
        <v>TE, PVC, SÉRIE NORMAL, ESGOTO PREDIAL, DN 100 X 50 MM, JUNTA ELÁSTICA, FORNECIDO E INSTALADO EM PRUMADA DE ESGOTO SANITÁRIO OU VENTILAÇÃO. AF_08/2022</v>
      </c>
      <c r="D84" s="129" t="str">
        <f ca="1">IF(OFFSET(PO!O$12,ROW(D84)-ROW(D$12),0)=0,"",OFFSET(PO!O$12,ROW(D84)-ROW(D$12),0))</f>
        <v>UN</v>
      </c>
      <c r="E84" s="165">
        <f>IF($A84&lt;&gt;"Serviço",0,ROUND(SUMIF($F$9:$P$9,"&lt;&gt;",$F84:$P84),15-13*PO!$X$3))</f>
        <v>4</v>
      </c>
      <c r="F84" s="398">
        <v>4</v>
      </c>
      <c r="G84" s="398"/>
      <c r="H84" s="398"/>
      <c r="I84" s="398"/>
      <c r="J84" s="398"/>
      <c r="K84" s="398"/>
      <c r="L84" s="398"/>
      <c r="M84" s="398"/>
      <c r="N84" s="398"/>
      <c r="O84" s="398"/>
      <c r="U84" s="215"/>
    </row>
    <row r="85" spans="1:21" s="4" customFormat="1" ht="38.25">
      <c r="A85" s="128" t="str">
        <f ca="1">OFFSET(PO!J$12,ROW(A85)-ROW($A$12),0)</f>
        <v>Serviço</v>
      </c>
      <c r="B85" s="130" t="str">
        <f ca="1">IF($A85=0,"",OFFSET(PO!K$12,ROW(B85)-ROW(B$12),0))</f>
        <v>7.2.15.</v>
      </c>
      <c r="C85" s="127" t="str">
        <f ca="1">IF(OFFSET(PO!N$12,ROW(C85)-ROW(C$12),0)=0,"",OFFSET(PO!N$12,ROW(C85)-ROW(C$12),0))</f>
        <v>TE, PVC, SÉRIE NORMAL, ESGOTO PREDIAL, DN 100 X 75 MM, JUNTA ELÁSTICA, FORNECIDO E INSTALADO EM PRUMADA DE ESGOTO SANITÁRIO OU VENTILAÇÃO. AF_08/2022</v>
      </c>
      <c r="D85" s="129" t="str">
        <f ca="1">IF(OFFSET(PO!O$12,ROW(D85)-ROW(D$12),0)=0,"",OFFSET(PO!O$12,ROW(D85)-ROW(D$12),0))</f>
        <v>UN</v>
      </c>
      <c r="E85" s="165">
        <f>IF($A85&lt;&gt;"Serviço",0,ROUND(SUMIF($F$9:$P$9,"&lt;&gt;",$F85:$P85),15-13*PO!$X$3))</f>
        <v>2</v>
      </c>
      <c r="F85" s="398">
        <v>2</v>
      </c>
      <c r="G85" s="398"/>
      <c r="H85" s="398"/>
      <c r="I85" s="398"/>
      <c r="J85" s="398"/>
      <c r="K85" s="398"/>
      <c r="L85" s="398"/>
      <c r="M85" s="398"/>
      <c r="N85" s="398"/>
      <c r="O85" s="398"/>
      <c r="U85" s="215"/>
    </row>
    <row r="86" spans="1:21" s="4" customFormat="1" ht="38.25">
      <c r="A86" s="128" t="str">
        <f ca="1">OFFSET(PO!J$12,ROW(A86)-ROW($A$12),0)</f>
        <v>Serviço</v>
      </c>
      <c r="B86" s="130" t="str">
        <f ca="1">IF($A86=0,"",OFFSET(PO!K$12,ROW(B86)-ROW(B$12),0))</f>
        <v>7.2.16.</v>
      </c>
      <c r="C86" s="127" t="str">
        <f ca="1">IF(OFFSET(PO!N$12,ROW(C86)-ROW(C$12),0)=0,"",OFFSET(PO!N$12,ROW(C86)-ROW(C$12),0))</f>
        <v>TE, PVC, SERIE NORMAL, ESGOTO PREDIAL, DN 40 X 40 MM, JUNTA SOLDÁVEL, FORNECIDO E INSTALADO EM RAMAL DE DESCARGA OU RAMAL DE ESGOTO SANITÁRIO. AF_08/2022</v>
      </c>
      <c r="D86" s="129" t="str">
        <f ca="1">IF(OFFSET(PO!O$12,ROW(D86)-ROW(D$12),0)=0,"",OFFSET(PO!O$12,ROW(D86)-ROW(D$12),0))</f>
        <v>UN</v>
      </c>
      <c r="E86" s="165">
        <f>IF($A86&lt;&gt;"Serviço",0,ROUND(SUMIF($F$9:$P$9,"&lt;&gt;",$F86:$P86),15-13*PO!$X$3))</f>
        <v>3</v>
      </c>
      <c r="F86" s="398">
        <v>3</v>
      </c>
      <c r="G86" s="398"/>
      <c r="H86" s="398"/>
      <c r="I86" s="398"/>
      <c r="J86" s="398"/>
      <c r="K86" s="398"/>
      <c r="L86" s="398"/>
      <c r="M86" s="398"/>
      <c r="N86" s="398"/>
      <c r="O86" s="398"/>
      <c r="U86" s="215"/>
    </row>
    <row r="87" spans="1:21" s="4" customFormat="1" ht="38.25">
      <c r="A87" s="128" t="str">
        <f ca="1">OFFSET(PO!J$12,ROW(A87)-ROW($A$12),0)</f>
        <v>Serviço</v>
      </c>
      <c r="B87" s="130" t="str">
        <f ca="1">IF($A87=0,"",OFFSET(PO!K$12,ROW(B87)-ROW(B$12),0))</f>
        <v>7.2.17.</v>
      </c>
      <c r="C87" s="127" t="str">
        <f ca="1">IF(OFFSET(PO!N$12,ROW(C87)-ROW(C$12),0)=0,"",OFFSET(PO!N$12,ROW(C87)-ROW(C$12),0))</f>
        <v>RALO SIFONADO, PVC, DN 100 X 40 MM, JUNTA SOLDÁVEL, FORNECIDO E INSTALADO EM RAMAL DE DESCARGA OU EM RAMAL DE ESGOTO SANITÁRIO. AF_08/2022</v>
      </c>
      <c r="D87" s="129" t="str">
        <f ca="1">IF(OFFSET(PO!O$12,ROW(D87)-ROW(D$12),0)=0,"",OFFSET(PO!O$12,ROW(D87)-ROW(D$12),0))</f>
        <v>UN</v>
      </c>
      <c r="E87" s="165">
        <f>IF($A87&lt;&gt;"Serviço",0,ROUND(SUMIF($F$9:$P$9,"&lt;&gt;",$F87:$P87),15-13*PO!$X$3))</f>
        <v>3</v>
      </c>
      <c r="F87" s="398">
        <v>3</v>
      </c>
      <c r="G87" s="398"/>
      <c r="H87" s="398"/>
      <c r="I87" s="398"/>
      <c r="J87" s="398"/>
      <c r="K87" s="398"/>
      <c r="L87" s="398"/>
      <c r="M87" s="398"/>
      <c r="N87" s="398"/>
      <c r="O87" s="398"/>
      <c r="U87" s="215"/>
    </row>
    <row r="88" spans="1:21" s="4" customFormat="1" ht="25.5">
      <c r="A88" s="128" t="str">
        <f ca="1">OFFSET(PO!J$12,ROW(A88)-ROW($A$12),0)</f>
        <v>Serviço</v>
      </c>
      <c r="B88" s="130" t="str">
        <f ca="1">IF($A88=0,"",OFFSET(PO!K$12,ROW(B88)-ROW(B$12),0))</f>
        <v>7.2.18.</v>
      </c>
      <c r="C88" s="127" t="str">
        <f ca="1">IF(OFFSET(PO!N$12,ROW(C88)-ROW(C$12),0)=0,"",OFFSET(PO!N$12,ROW(C88)-ROW(C$12),0))</f>
        <v>GRELHA FIXA, PVC CROMADA, REDONDA, 150 MM, PARA RALOS E CAIXAS                                                                                                                                                                                                                                                                                                                                                                                                                                            </v>
      </c>
      <c r="D88" s="129" t="str">
        <f ca="1">IF(OFFSET(PO!O$12,ROW(D88)-ROW(D$12),0)=0,"",OFFSET(PO!O$12,ROW(D88)-ROW(D$12),0))</f>
        <v>UN    </v>
      </c>
      <c r="E88" s="165">
        <f>IF($A88&lt;&gt;"Serviço",0,ROUND(SUMIF($F$9:$P$9,"&lt;&gt;",$F88:$P88),15-13*PO!$X$3))</f>
        <v>7</v>
      </c>
      <c r="F88" s="398">
        <v>7</v>
      </c>
      <c r="G88" s="398"/>
      <c r="H88" s="398"/>
      <c r="I88" s="398"/>
      <c r="J88" s="398"/>
      <c r="K88" s="398"/>
      <c r="L88" s="398"/>
      <c r="M88" s="398"/>
      <c r="N88" s="398"/>
      <c r="O88" s="398"/>
      <c r="U88" s="215"/>
    </row>
    <row r="89" spans="1:21" s="4" customFormat="1" ht="38.25">
      <c r="A89" s="128" t="str">
        <f ca="1">OFFSET(PO!J$12,ROW(A89)-ROW($A$12),0)</f>
        <v>Serviço</v>
      </c>
      <c r="B89" s="130" t="str">
        <f ca="1">IF($A89=0,"",OFFSET(PO!K$12,ROW(B89)-ROW(B$12),0))</f>
        <v>7.2.19.</v>
      </c>
      <c r="C89" s="127" t="str">
        <f ca="1">IF(OFFSET(PO!N$12,ROW(C89)-ROW(C$12),0)=0,"",OFFSET(PO!N$12,ROW(C89)-ROW(C$12),0))</f>
        <v>CAIXA ENTERRADA HIDRÁULICA RETANGULAR EM ALVENARIA COM TIJOLOS CERÂMICOS MACIÇOS, DIMENSÕES INTERNAS: 0,4X0,4X0,4 M PARA REDE DE ESGOTO. AF_12/2020</v>
      </c>
      <c r="D89" s="129" t="str">
        <f ca="1">IF(OFFSET(PO!O$12,ROW(D89)-ROW(D$12),0)=0,"",OFFSET(PO!O$12,ROW(D89)-ROW(D$12),0))</f>
        <v>UN</v>
      </c>
      <c r="E89" s="165">
        <f>IF($A89&lt;&gt;"Serviço",0,ROUND(SUMIF($F$9:$P$9,"&lt;&gt;",$F89:$P89),15-13*PO!$X$3))</f>
        <v>2</v>
      </c>
      <c r="F89" s="398">
        <v>2</v>
      </c>
      <c r="G89" s="398"/>
      <c r="H89" s="398"/>
      <c r="I89" s="398"/>
      <c r="J89" s="398"/>
      <c r="K89" s="398"/>
      <c r="L89" s="398"/>
      <c r="M89" s="398"/>
      <c r="N89" s="398"/>
      <c r="O89" s="398"/>
      <c r="U89" s="215"/>
    </row>
    <row r="90" spans="1:21" s="4" customFormat="1" ht="12.75">
      <c r="A90" s="128" t="str">
        <f ca="1">OFFSET(PO!J$12,ROW(A90)-ROW($A$12),0)</f>
        <v>Nível 2</v>
      </c>
      <c r="B90" s="130" t="str">
        <f ca="1">IF($A90=0,"",OFFSET(PO!K$12,ROW(B90)-ROW(B$12),0))</f>
        <v>7.3.</v>
      </c>
      <c r="C90" s="127" t="str">
        <f ca="1">IF(OFFSET(PO!N$12,ROW(C90)-ROW(C$12),0)=0,"",OFFSET(PO!N$12,ROW(C90)-ROW(C$12),0))</f>
        <v>INSTALAÇÕES ELÉTRICAS </v>
      </c>
      <c r="D90" s="129">
        <f ca="1">IF(OFFSET(PO!O$12,ROW(D90)-ROW(D$12),0)=0,"",OFFSET(PO!O$12,ROW(D90)-ROW(D$12),0))</f>
      </c>
      <c r="E90" s="165">
        <f>IF($A90&lt;&gt;"Serviço",0,ROUND(SUMIF($F$9:$P$9,"&lt;&gt;",$F90:$P90),15-13*PO!$X$3))</f>
        <v>0</v>
      </c>
      <c r="F90" s="398"/>
      <c r="G90" s="398"/>
      <c r="H90" s="398"/>
      <c r="I90" s="398"/>
      <c r="J90" s="398"/>
      <c r="K90" s="398"/>
      <c r="L90" s="398"/>
      <c r="M90" s="398"/>
      <c r="N90" s="398"/>
      <c r="O90" s="398"/>
      <c r="U90" s="215"/>
    </row>
    <row r="91" spans="1:21" s="4" customFormat="1" ht="38.25">
      <c r="A91" s="128" t="str">
        <f ca="1">OFFSET(PO!J$12,ROW(A91)-ROW($A$12),0)</f>
        <v>Serviço</v>
      </c>
      <c r="B91" s="130" t="str">
        <f ca="1">IF($A91=0,"",OFFSET(PO!K$12,ROW(B91)-ROW(B$12),0))</f>
        <v>7.3.1.</v>
      </c>
      <c r="C91" s="127" t="str">
        <f ca="1">IF(OFFSET(PO!N$12,ROW(C91)-ROW(C$12),0)=0,"",OFFSET(PO!N$12,ROW(C91)-ROW(C$12),0))</f>
        <v>TOMADA MÉDIA DE EMBUTIR (2 MÓDULOS), 2P+T 10 A, SEM SUPORTE E SEM PLACA - FORNECIMENTO E INSTALAÇÃO. AF_03/2023</v>
      </c>
      <c r="D91" s="129" t="str">
        <f ca="1">IF(OFFSET(PO!O$12,ROW(D91)-ROW(D$12),0)=0,"",OFFSET(PO!O$12,ROW(D91)-ROW(D$12),0))</f>
        <v>UN</v>
      </c>
      <c r="E91" s="165">
        <f>IF($A91&lt;&gt;"Serviço",0,ROUND(SUMIF($F$9:$P$9,"&lt;&gt;",$F91:$P91),15-13*PO!$X$3))</f>
        <v>3</v>
      </c>
      <c r="F91" s="398">
        <v>3</v>
      </c>
      <c r="G91" s="398"/>
      <c r="H91" s="398"/>
      <c r="I91" s="398"/>
      <c r="J91" s="398"/>
      <c r="K91" s="398"/>
      <c r="L91" s="398"/>
      <c r="M91" s="398"/>
      <c r="N91" s="398"/>
      <c r="O91" s="398"/>
      <c r="U91" s="215"/>
    </row>
    <row r="92" spans="1:21" s="4" customFormat="1" ht="38.25">
      <c r="A92" s="128" t="str">
        <f ca="1">OFFSET(PO!J$12,ROW(A92)-ROW($A$12),0)</f>
        <v>Serviço</v>
      </c>
      <c r="B92" s="130" t="str">
        <f ca="1">IF($A92=0,"",OFFSET(PO!K$12,ROW(B92)-ROW(B$12),0))</f>
        <v>7.3.2.</v>
      </c>
      <c r="C92" s="127" t="str">
        <f ca="1">IF(OFFSET(PO!N$12,ROW(C92)-ROW(C$12),0)=0,"",OFFSET(PO!N$12,ROW(C92)-ROW(C$12),0))</f>
        <v>INTERRUPTOR SIMPLES (1 MÓDULO), 10A/250V, INCLUINDO SUPORTE E PLACA - FORNECIMENTO E INSTALAÇÃO. AF_03/2023</v>
      </c>
      <c r="D92" s="129" t="str">
        <f ca="1">IF(OFFSET(PO!O$12,ROW(D92)-ROW(D$12),0)=0,"",OFFSET(PO!O$12,ROW(D92)-ROW(D$12),0))</f>
        <v>UN</v>
      </c>
      <c r="E92" s="165">
        <f>IF($A92&lt;&gt;"Serviço",0,ROUND(SUMIF($F$9:$P$9,"&lt;&gt;",$F92:$P92),15-13*PO!$X$3))</f>
        <v>3</v>
      </c>
      <c r="F92" s="398">
        <v>3</v>
      </c>
      <c r="G92" s="398"/>
      <c r="H92" s="398"/>
      <c r="I92" s="398"/>
      <c r="J92" s="398"/>
      <c r="K92" s="398"/>
      <c r="L92" s="398"/>
      <c r="M92" s="398"/>
      <c r="N92" s="398"/>
      <c r="O92" s="398"/>
      <c r="U92" s="215"/>
    </row>
    <row r="93" spans="1:21" s="4" customFormat="1" ht="38.25">
      <c r="A93" s="128" t="str">
        <f ca="1">OFFSET(PO!J$12,ROW(A93)-ROW($A$12),0)</f>
        <v>Serviço</v>
      </c>
      <c r="B93" s="130" t="str">
        <f ca="1">IF($A93=0,"",OFFSET(PO!K$12,ROW(B93)-ROW(B$12),0))</f>
        <v>7.3.3.</v>
      </c>
      <c r="C93" s="127" t="str">
        <f ca="1">IF(OFFSET(PO!N$12,ROW(C93)-ROW(C$12),0)=0,"",OFFSET(PO!N$12,ROW(C93)-ROW(C$12),0))</f>
        <v>CABO DE COBRE FLEXÍVEL ISOLADO, 1,5 MM², ANTI-CHAMA 0,6/1,0 KV, PARA CIRCUITOS TERMINAIS - FORNECIMENTO E INSTALAÇÃO. AF_03/2023</v>
      </c>
      <c r="D93" s="129" t="str">
        <f ca="1">IF(OFFSET(PO!O$12,ROW(D93)-ROW(D$12),0)=0,"",OFFSET(PO!O$12,ROW(D93)-ROW(D$12),0))</f>
        <v>M</v>
      </c>
      <c r="E93" s="165">
        <f>IF($A93&lt;&gt;"Serviço",0,ROUND(SUMIF($F$9:$P$9,"&lt;&gt;",$F93:$P93),15-13*PO!$X$3))</f>
        <v>200</v>
      </c>
      <c r="F93" s="398">
        <v>200</v>
      </c>
      <c r="G93" s="398"/>
      <c r="H93" s="398"/>
      <c r="I93" s="398"/>
      <c r="J93" s="398"/>
      <c r="K93" s="398"/>
      <c r="L93" s="398"/>
      <c r="M93" s="398"/>
      <c r="N93" s="398"/>
      <c r="O93" s="398"/>
      <c r="U93" s="215"/>
    </row>
    <row r="94" spans="1:21" s="4" customFormat="1" ht="38.25">
      <c r="A94" s="128" t="str">
        <f ca="1">OFFSET(PO!J$12,ROW(A94)-ROW($A$12),0)</f>
        <v>Serviço</v>
      </c>
      <c r="B94" s="130" t="str">
        <f ca="1">IF($A94=0,"",OFFSET(PO!K$12,ROW(B94)-ROW(B$12),0))</f>
        <v>7.3.4.</v>
      </c>
      <c r="C94" s="127" t="str">
        <f ca="1">IF(OFFSET(PO!N$12,ROW(C94)-ROW(C$12),0)=0,"",OFFSET(PO!N$12,ROW(C94)-ROW(C$12),0))</f>
        <v>CABO DE COBRE FLEXÍVEL ISOLADO, 2,5 MM², ANTI-CHAMA 450/750 V, PARA CIRCUITOS TERMINAIS - FORNECIMENTO E INSTALAÇÃO. AF_03/2023</v>
      </c>
      <c r="D94" s="129" t="str">
        <f ca="1">IF(OFFSET(PO!O$12,ROW(D94)-ROW(D$12),0)=0,"",OFFSET(PO!O$12,ROW(D94)-ROW(D$12),0))</f>
        <v>M</v>
      </c>
      <c r="E94" s="165">
        <f>IF($A94&lt;&gt;"Serviço",0,ROUND(SUMIF($F$9:$P$9,"&lt;&gt;",$F94:$P94),15-13*PO!$X$3))</f>
        <v>200</v>
      </c>
      <c r="F94" s="398">
        <v>200</v>
      </c>
      <c r="G94" s="398"/>
      <c r="H94" s="398"/>
      <c r="I94" s="398"/>
      <c r="J94" s="398"/>
      <c r="K94" s="398"/>
      <c r="L94" s="398"/>
      <c r="M94" s="398"/>
      <c r="N94" s="398"/>
      <c r="O94" s="398"/>
      <c r="U94" s="215"/>
    </row>
    <row r="95" spans="1:21" s="4" customFormat="1" ht="38.25">
      <c r="A95" s="128" t="str">
        <f ca="1">OFFSET(PO!J$12,ROW(A95)-ROW($A$12),0)</f>
        <v>Serviço</v>
      </c>
      <c r="B95" s="130" t="str">
        <f ca="1">IF($A95=0,"",OFFSET(PO!K$12,ROW(B95)-ROW(B$12),0))</f>
        <v>7.3.5.</v>
      </c>
      <c r="C95" s="127" t="str">
        <f ca="1">IF(OFFSET(PO!N$12,ROW(C95)-ROW(C$12),0)=0,"",OFFSET(PO!N$12,ROW(C95)-ROW(C$12),0))</f>
        <v>CABO DE COBRE FLEXÍVEL ISOLADO, 4 MM², ANTI-CHAMA 450/750 V, PARA CIRCUITOS TERMINAIS - FORNECIMENTO E INSTALAÇÃO. AF_03/2023</v>
      </c>
      <c r="D95" s="129" t="str">
        <f ca="1">IF(OFFSET(PO!O$12,ROW(D95)-ROW(D$12),0)=0,"",OFFSET(PO!O$12,ROW(D95)-ROW(D$12),0))</f>
        <v>M</v>
      </c>
      <c r="E95" s="165">
        <f>IF($A95&lt;&gt;"Serviço",0,ROUND(SUMIF($F$9:$P$9,"&lt;&gt;",$F95:$P95),15-13*PO!$X$3))</f>
        <v>200</v>
      </c>
      <c r="F95" s="398">
        <v>200</v>
      </c>
      <c r="G95" s="398"/>
      <c r="H95" s="398"/>
      <c r="I95" s="398"/>
      <c r="J95" s="398"/>
      <c r="K95" s="398"/>
      <c r="L95" s="398"/>
      <c r="M95" s="398"/>
      <c r="N95" s="398"/>
      <c r="O95" s="398"/>
      <c r="U95" s="215"/>
    </row>
    <row r="96" spans="1:21" s="4" customFormat="1" ht="12.75">
      <c r="A96" s="128" t="str">
        <f ca="1">OFFSET(PO!J$12,ROW(A96)-ROW($A$12),0)</f>
        <v>Serviço</v>
      </c>
      <c r="B96" s="130" t="str">
        <f ca="1">IF($A96=0,"",OFFSET(PO!K$12,ROW(B96)-ROW(B$12),0))</f>
        <v>7.3.6.</v>
      </c>
      <c r="C96" s="127" t="str">
        <f ca="1">IF(OFFSET(PO!N$12,ROW(C96)-ROW(C$12),0)=0,"",OFFSET(PO!N$12,ROW(C96)-ROW(C$12),0))</f>
        <v>INSTALAÇÃO DE PLAFON 24 W 6500K</v>
      </c>
      <c r="D96" s="129" t="str">
        <f ca="1">IF(OFFSET(PO!O$12,ROW(D96)-ROW(D$12),0)=0,"",OFFSET(PO!O$12,ROW(D96)-ROW(D$12),0))</f>
        <v>UM</v>
      </c>
      <c r="E96" s="165">
        <f>IF($A96&lt;&gt;"Serviço",0,ROUND(SUMIF($F$9:$P$9,"&lt;&gt;",$F96:$P96),15-13*PO!$X$3))</f>
        <v>8</v>
      </c>
      <c r="F96" s="398">
        <v>8</v>
      </c>
      <c r="G96" s="398"/>
      <c r="H96" s="398"/>
      <c r="I96" s="398"/>
      <c r="J96" s="398"/>
      <c r="K96" s="398"/>
      <c r="L96" s="398"/>
      <c r="M96" s="398"/>
      <c r="N96" s="398"/>
      <c r="O96" s="398"/>
      <c r="U96" s="215"/>
    </row>
    <row r="97" spans="1:21" s="4" customFormat="1" ht="12.75">
      <c r="A97" s="128" t="str">
        <f ca="1">OFFSET(PO!J$12,ROW(A97)-ROW($A$12),0)</f>
        <v>Serviço</v>
      </c>
      <c r="B97" s="130" t="str">
        <f ca="1">IF($A97=0,"",OFFSET(PO!K$12,ROW(B97)-ROW(B$12),0))</f>
        <v>7.3.7.</v>
      </c>
      <c r="C97" s="127" t="str">
        <f ca="1">IF(OFFSET(PO!N$12,ROW(C97)-ROW(C$12),0)=0,"",OFFSET(PO!N$12,ROW(C97)-ROW(C$12),0))</f>
        <v>INSTALAÇÃO DE PLAFON 18 W 6500K</v>
      </c>
      <c r="D97" s="129" t="str">
        <f ca="1">IF(OFFSET(PO!O$12,ROW(D97)-ROW(D$12),0)=0,"",OFFSET(PO!O$12,ROW(D97)-ROW(D$12),0))</f>
        <v>UM</v>
      </c>
      <c r="E97" s="165">
        <f>IF($A97&lt;&gt;"Serviço",0,ROUND(SUMIF($F$9:$P$9,"&lt;&gt;",$F97:$P97),15-13*PO!$X$3))</f>
        <v>4</v>
      </c>
      <c r="F97" s="398">
        <v>4</v>
      </c>
      <c r="G97" s="398"/>
      <c r="H97" s="398"/>
      <c r="I97" s="398"/>
      <c r="J97" s="398"/>
      <c r="K97" s="398"/>
      <c r="L97" s="398"/>
      <c r="M97" s="398"/>
      <c r="N97" s="398"/>
      <c r="O97" s="398"/>
      <c r="U97" s="215"/>
    </row>
    <row r="98" spans="1:21" s="4" customFormat="1" ht="12.75">
      <c r="A98" s="128" t="str">
        <f ca="1">OFFSET(PO!J$12,ROW(A98)-ROW($A$12),0)</f>
        <v>Serviço</v>
      </c>
      <c r="B98" s="130" t="str">
        <f ca="1">IF($A98=0,"",OFFSET(PO!K$12,ROW(B98)-ROW(B$12),0))</f>
        <v>7.3.8.</v>
      </c>
      <c r="C98" s="127" t="str">
        <f ca="1">IF(OFFSET(PO!N$12,ROW(C98)-ROW(C$12),0)=0,"",OFFSET(PO!N$12,ROW(C98)-ROW(C$12),0))</f>
        <v>TOMADA PARA INSTALAÇÃO DE AR CONDICIONADO</v>
      </c>
      <c r="D98" s="129" t="str">
        <f ca="1">IF(OFFSET(PO!O$12,ROW(D98)-ROW(D$12),0)=0,"",OFFSET(PO!O$12,ROW(D98)-ROW(D$12),0))</f>
        <v>UM</v>
      </c>
      <c r="E98" s="165">
        <f>IF($A98&lt;&gt;"Serviço",0,ROUND(SUMIF($F$9:$P$9,"&lt;&gt;",$F98:$P98),15-13*PO!$X$3))</f>
        <v>3</v>
      </c>
      <c r="F98" s="398">
        <v>3</v>
      </c>
      <c r="G98" s="398"/>
      <c r="H98" s="398"/>
      <c r="I98" s="398"/>
      <c r="J98" s="398"/>
      <c r="K98" s="398"/>
      <c r="L98" s="398"/>
      <c r="M98" s="398"/>
      <c r="N98" s="398"/>
      <c r="O98" s="398"/>
      <c r="U98" s="215"/>
    </row>
    <row r="99" spans="1:21" s="4" customFormat="1" ht="12.75">
      <c r="A99" s="128" t="str">
        <f ca="1">OFFSET(PO!J$12,ROW(A99)-ROW($A$12),0)</f>
        <v>Nível 2</v>
      </c>
      <c r="B99" s="130" t="str">
        <f ca="1">IF($A99=0,"",OFFSET(PO!K$12,ROW(B99)-ROW(B$12),0))</f>
        <v>7.4.</v>
      </c>
      <c r="C99" s="127" t="str">
        <f ca="1">IF(OFFSET(PO!N$12,ROW(C99)-ROW(C$12),0)=0,"",OFFSET(PO!N$12,ROW(C99)-ROW(C$12),0))</f>
        <v>INSTALAÇÃO DE LOUÇAS E METAIS</v>
      </c>
      <c r="D99" s="129">
        <f ca="1">IF(OFFSET(PO!O$12,ROW(D99)-ROW(D$12),0)=0,"",OFFSET(PO!O$12,ROW(D99)-ROW(D$12),0))</f>
      </c>
      <c r="E99" s="165">
        <f>IF($A99&lt;&gt;"Serviço",0,ROUND(SUMIF($F$9:$P$9,"&lt;&gt;",$F99:$P99),15-13*PO!$X$3))</f>
        <v>0</v>
      </c>
      <c r="F99" s="398"/>
      <c r="G99" s="398"/>
      <c r="H99" s="398"/>
      <c r="I99" s="398"/>
      <c r="J99" s="398"/>
      <c r="K99" s="398"/>
      <c r="L99" s="398"/>
      <c r="M99" s="398"/>
      <c r="N99" s="398"/>
      <c r="O99" s="398"/>
      <c r="U99" s="215"/>
    </row>
    <row r="100" spans="1:21" s="4" customFormat="1" ht="38.25">
      <c r="A100" s="128" t="str">
        <f ca="1">OFFSET(PO!J$12,ROW(A100)-ROW($A$12),0)</f>
        <v>Serviço</v>
      </c>
      <c r="B100" s="130" t="str">
        <f ca="1">IF($A100=0,"",OFFSET(PO!K$12,ROW(B100)-ROW(B$12),0))</f>
        <v>7.4.1.</v>
      </c>
      <c r="C100" s="127" t="str">
        <f ca="1">IF(OFFSET(PO!N$12,ROW(C100)-ROW(C$12),0)=0,"",OFFSET(PO!N$12,ROW(C100)-ROW(C$12),0))</f>
        <v>VASO SANITARIO SIFONADO CONVENCIONAL PARA PCD SEM FURO FRONTAL COM  LOUÇA BRANCA SEM ASSENTO -  FORNECIMENTO E INSTALAÇÃO. AF_01/2020</v>
      </c>
      <c r="D100" s="129" t="str">
        <f ca="1">IF(OFFSET(PO!O$12,ROW(D100)-ROW(D$12),0)=0,"",OFFSET(PO!O$12,ROW(D100)-ROW(D$12),0))</f>
        <v>UN</v>
      </c>
      <c r="E100" s="165">
        <f>IF($A100&lt;&gt;"Serviço",0,ROUND(SUMIF($F$9:$P$9,"&lt;&gt;",$F100:$P100),15-13*PO!$X$3))</f>
        <v>2</v>
      </c>
      <c r="F100" s="398">
        <v>2</v>
      </c>
      <c r="G100" s="398"/>
      <c r="H100" s="398"/>
      <c r="I100" s="398"/>
      <c r="J100" s="398"/>
      <c r="K100" s="398"/>
      <c r="L100" s="398"/>
      <c r="M100" s="398"/>
      <c r="N100" s="398"/>
      <c r="O100" s="398"/>
      <c r="U100" s="215"/>
    </row>
    <row r="101" spans="1:21" s="4" customFormat="1" ht="38.25">
      <c r="A101" s="128" t="str">
        <f ca="1">OFFSET(PO!J$12,ROW(A101)-ROW($A$12),0)</f>
        <v>Serviço</v>
      </c>
      <c r="B101" s="130" t="str">
        <f ca="1">IF($A101=0,"",OFFSET(PO!K$12,ROW(B101)-ROW(B$12),0))</f>
        <v>7.4.2.</v>
      </c>
      <c r="C101" s="127" t="str">
        <f ca="1">IF(OFFSET(PO!N$12,ROW(C101)-ROW(C$12),0)=0,"",OFFSET(PO!N$12,ROW(C101)-ROW(C$12),0))</f>
        <v>LAVATÓRIO LOUÇA BRANCA COM COLUNA, 45 X 55CM OU EQUIVALENTE, PADRÃO MÉDIO - FORNECIMENTO E INSTALAÇÃO. AF_01/2020</v>
      </c>
      <c r="D101" s="129" t="str">
        <f ca="1">IF(OFFSET(PO!O$12,ROW(D101)-ROW(D$12),0)=0,"",OFFSET(PO!O$12,ROW(D101)-ROW(D$12),0))</f>
        <v>UN</v>
      </c>
      <c r="E101" s="165">
        <f>IF($A101&lt;&gt;"Serviço",0,ROUND(SUMIF($F$9:$P$9,"&lt;&gt;",$F101:$P101),15-13*PO!$X$3))</f>
        <v>2</v>
      </c>
      <c r="F101" s="398">
        <v>2</v>
      </c>
      <c r="G101" s="398"/>
      <c r="H101" s="398"/>
      <c r="I101" s="398"/>
      <c r="J101" s="398"/>
      <c r="K101" s="398"/>
      <c r="L101" s="398"/>
      <c r="M101" s="398"/>
      <c r="N101" s="398"/>
      <c r="O101" s="398"/>
      <c r="U101" s="215"/>
    </row>
    <row r="102" spans="1:21" s="4" customFormat="1" ht="25.5">
      <c r="A102" s="128" t="str">
        <f ca="1">OFFSET(PO!J$12,ROW(A102)-ROW($A$12),0)</f>
        <v>Serviço</v>
      </c>
      <c r="B102" s="130" t="str">
        <f ca="1">IF($A102=0,"",OFFSET(PO!K$12,ROW(B102)-ROW(B$12),0))</f>
        <v>7.4.3.</v>
      </c>
      <c r="C102" s="127" t="str">
        <f ca="1">IF(OFFSET(PO!N$12,ROW(C102)-ROW(C$12),0)=0,"",OFFSET(PO!N$12,ROW(C102)-ROW(C$12),0))</f>
        <v>TORNEIRA CROMADA DE MESA, 1/2 OU 3/4, PARA LAVATÓRIO, PADRÃO MÉDIO - FORNECIMENTO E INSTALAÇÃO. AF_01/2020</v>
      </c>
      <c r="D102" s="129" t="str">
        <f ca="1">IF(OFFSET(PO!O$12,ROW(D102)-ROW(D$12),0)=0,"",OFFSET(PO!O$12,ROW(D102)-ROW(D$12),0))</f>
        <v>UN</v>
      </c>
      <c r="E102" s="165">
        <f>IF($A102&lt;&gt;"Serviço",0,ROUND(SUMIF($F$9:$P$9,"&lt;&gt;",$F102:$P102),15-13*PO!$X$3))</f>
        <v>4</v>
      </c>
      <c r="F102" s="398">
        <v>4</v>
      </c>
      <c r="G102" s="398"/>
      <c r="H102" s="398"/>
      <c r="I102" s="398"/>
      <c r="J102" s="398"/>
      <c r="K102" s="398"/>
      <c r="L102" s="398"/>
      <c r="M102" s="398"/>
      <c r="N102" s="398"/>
      <c r="O102" s="398"/>
      <c r="U102" s="215"/>
    </row>
    <row r="103" spans="1:21" s="4" customFormat="1" ht="25.5">
      <c r="A103" s="128" t="str">
        <f ca="1">OFFSET(PO!J$12,ROW(A103)-ROW($A$12),0)</f>
        <v>Serviço</v>
      </c>
      <c r="B103" s="130" t="str">
        <f ca="1">IF($A103=0,"",OFFSET(PO!K$12,ROW(B103)-ROW(B$12),0))</f>
        <v>7.4.4.</v>
      </c>
      <c r="C103" s="127" t="str">
        <f ca="1">IF(OFFSET(PO!N$12,ROW(C103)-ROW(C$12),0)=0,"",OFFSET(PO!N$12,ROW(C103)-ROW(C$12),0))</f>
        <v>REGISTRO GAVETA COM ACABAMENTO E CANOPLA CROMADOS, SIMPLES, BITOLA 3/4 " (REF 1509)                                                                                                                                                                                                                                                                                                                                                                                                                       </v>
      </c>
      <c r="D103" s="129" t="str">
        <f ca="1">IF(OFFSET(PO!O$12,ROW(D103)-ROW(D$12),0)=0,"",OFFSET(PO!O$12,ROW(D103)-ROW(D$12),0))</f>
        <v>UN    </v>
      </c>
      <c r="E103" s="165">
        <f>IF($A103&lt;&gt;"Serviço",0,ROUND(SUMIF($F$9:$P$9,"&lt;&gt;",$F103:$P103),15-13*PO!$X$3))</f>
        <v>4</v>
      </c>
      <c r="F103" s="398">
        <v>4</v>
      </c>
      <c r="G103" s="398"/>
      <c r="H103" s="398"/>
      <c r="I103" s="398"/>
      <c r="J103" s="398"/>
      <c r="K103" s="398"/>
      <c r="L103" s="398"/>
      <c r="M103" s="398"/>
      <c r="N103" s="398"/>
      <c r="O103" s="398"/>
      <c r="U103" s="215"/>
    </row>
    <row r="104" spans="1:21" s="4" customFormat="1" ht="12.75">
      <c r="A104" s="128" t="str">
        <f ca="1">OFFSET(PO!J$12,ROW(A104)-ROW($A$12),0)</f>
        <v>Serviço</v>
      </c>
      <c r="B104" s="130" t="str">
        <f ca="1">IF($A104=0,"",OFFSET(PO!K$12,ROW(B104)-ROW(B$12),0))</f>
        <v>7.4.5.</v>
      </c>
      <c r="C104" s="127" t="str">
        <f ca="1">IF(OFFSET(PO!N$12,ROW(C104)-ROW(C$12),0)=0,"",OFFSET(PO!N$12,ROW(C104)-ROW(C$12),0))</f>
        <v>ASSENTO SANITARIO DE PLASTICO, TIPO CONVENCIONAL                                                                                                                                                                                                                                                                                                                                                                                                                                                          </v>
      </c>
      <c r="D104" s="129" t="str">
        <f ca="1">IF(OFFSET(PO!O$12,ROW(D104)-ROW(D$12),0)=0,"",OFFSET(PO!O$12,ROW(D104)-ROW(D$12),0))</f>
        <v>UN    </v>
      </c>
      <c r="E104" s="165">
        <f>IF($A104&lt;&gt;"Serviço",0,ROUND(SUMIF($F$9:$P$9,"&lt;&gt;",$F104:$P104),15-13*PO!$X$3))</f>
        <v>2</v>
      </c>
      <c r="F104" s="398">
        <v>2</v>
      </c>
      <c r="G104" s="398"/>
      <c r="H104" s="398"/>
      <c r="I104" s="398"/>
      <c r="J104" s="398"/>
      <c r="K104" s="398"/>
      <c r="L104" s="398"/>
      <c r="M104" s="398"/>
      <c r="N104" s="398"/>
      <c r="O104" s="398"/>
      <c r="U104" s="215"/>
    </row>
    <row r="105" spans="1:21" s="4" customFormat="1" ht="12.75">
      <c r="A105" s="128" t="str">
        <f ca="1">OFFSET(PO!J$12,ROW(A105)-ROW($A$12),0)</f>
        <v>Serviço</v>
      </c>
      <c r="B105" s="130" t="str">
        <f ca="1">IF($A105=0,"",OFFSET(PO!K$12,ROW(B105)-ROW(B$12),0))</f>
        <v>7.4.6.</v>
      </c>
      <c r="C105" s="127" t="str">
        <f ca="1">IF(OFFSET(PO!N$12,ROW(C105)-ROW(C$12),0)=0,"",OFFSET(PO!N$12,ROW(C105)-ROW(C$12),0))</f>
        <v>ESPELHO CRISTAL E = 4 MM                                                                                                                                                                                                                                                                                                                                                                                                                                                                                  </v>
      </c>
      <c r="D105" s="129" t="str">
        <f ca="1">IF(OFFSET(PO!O$12,ROW(D105)-ROW(D$12),0)=0,"",OFFSET(PO!O$12,ROW(D105)-ROW(D$12),0))</f>
        <v>M2    </v>
      </c>
      <c r="E105" s="165">
        <f>IF($A105&lt;&gt;"Serviço",0,ROUND(SUMIF($F$9:$P$9,"&lt;&gt;",$F105:$P105),15-13*PO!$X$3))</f>
        <v>2</v>
      </c>
      <c r="F105" s="398">
        <v>2</v>
      </c>
      <c r="G105" s="398"/>
      <c r="H105" s="398"/>
      <c r="I105" s="398"/>
      <c r="J105" s="398"/>
      <c r="K105" s="398"/>
      <c r="L105" s="398"/>
      <c r="M105" s="398"/>
      <c r="N105" s="398"/>
      <c r="O105" s="398"/>
      <c r="U105" s="215"/>
    </row>
    <row r="106" spans="1:21" s="4" customFormat="1" ht="25.5">
      <c r="A106" s="128" t="str">
        <f ca="1">OFFSET(PO!J$12,ROW(A106)-ROW($A$12),0)</f>
        <v>Serviço</v>
      </c>
      <c r="B106" s="130" t="str">
        <f ca="1">IF($A106=0,"",OFFSET(PO!K$12,ROW(B106)-ROW(B$12),0))</f>
        <v>7.4.7.</v>
      </c>
      <c r="C106" s="127" t="str">
        <f ca="1">IF(OFFSET(PO!N$12,ROW(C106)-ROW(C$12),0)=0,"",OFFSET(PO!N$12,ROW(C106)-ROW(C$12),0))</f>
        <v>KIT DE ACESSORIOS PARA BANHEIRO EM METAL CROMADO, 5 PECAS, INCLUSO FIXAÇÃO. AF_01/2020</v>
      </c>
      <c r="D106" s="129" t="str">
        <f ca="1">IF(OFFSET(PO!O$12,ROW(D106)-ROW(D$12),0)=0,"",OFFSET(PO!O$12,ROW(D106)-ROW(D$12),0))</f>
        <v>UN</v>
      </c>
      <c r="E106" s="165">
        <f>IF($A106&lt;&gt;"Serviço",0,ROUND(SUMIF($F$9:$P$9,"&lt;&gt;",$F106:$P106),15-13*PO!$X$3))</f>
        <v>2</v>
      </c>
      <c r="F106" s="398">
        <v>2</v>
      </c>
      <c r="G106" s="398"/>
      <c r="H106" s="398"/>
      <c r="I106" s="398"/>
      <c r="J106" s="398"/>
      <c r="K106" s="398"/>
      <c r="L106" s="398"/>
      <c r="M106" s="398"/>
      <c r="N106" s="398"/>
      <c r="O106" s="398"/>
      <c r="U106" s="215"/>
    </row>
    <row r="107" spans="1:21" s="4" customFormat="1" ht="63.75">
      <c r="A107" s="128" t="str">
        <f ca="1">OFFSET(PO!J$12,ROW(A107)-ROW($A$12),0)</f>
        <v>Serviço</v>
      </c>
      <c r="B107" s="130" t="str">
        <f ca="1">IF($A107=0,"",OFFSET(PO!K$12,ROW(B107)-ROW(B$12),0))</f>
        <v>7.4.8.</v>
      </c>
      <c r="C107" s="127" t="str">
        <f ca="1">IF(OFFSET(PO!N$12,ROW(C107)-ROW(C$12),0)=0,"",OFFSET(PO!N$12,ROW(C107)-ROW(C$12),0))</f>
        <v>BANCADA GRANITO CINZA  150 X 60 CM, COM CUBA DE EMBUTIR DE AÇO, VÁLVULA AMERICANA EM METAL, SIFÃO FLEXÍVEL EM PVC, ENGATE FLEXÍVEL 30 CM, TORNEIRA CROMADA LONGA, DE PAREDE, 1/2 OU 3/4, P/ COZINHA, PADRÃO POPULAR - FORNEC. E INSTALAÇÃO. AF_01/2020</v>
      </c>
      <c r="D107" s="129" t="str">
        <f ca="1">IF(OFFSET(PO!O$12,ROW(D107)-ROW(D$12),0)=0,"",OFFSET(PO!O$12,ROW(D107)-ROW(D$12),0))</f>
        <v>UN</v>
      </c>
      <c r="E107" s="165">
        <f>IF($A107&lt;&gt;"Serviço",0,ROUND(SUMIF($F$9:$P$9,"&lt;&gt;",$F107:$P107),15-13*PO!$X$3))</f>
        <v>2</v>
      </c>
      <c r="F107" s="398">
        <v>2</v>
      </c>
      <c r="G107" s="398"/>
      <c r="H107" s="398"/>
      <c r="I107" s="398"/>
      <c r="J107" s="398"/>
      <c r="K107" s="398"/>
      <c r="L107" s="398"/>
      <c r="M107" s="398"/>
      <c r="N107" s="398"/>
      <c r="O107" s="398"/>
      <c r="U107" s="215"/>
    </row>
    <row r="108" spans="1:21" s="4" customFormat="1" ht="12.75">
      <c r="A108" s="128" t="str">
        <f ca="1">OFFSET(PO!J$12,ROW(A108)-ROW($A$12),0)</f>
        <v>Serviço</v>
      </c>
      <c r="B108" s="130" t="str">
        <f ca="1">IF($A108=0,"",OFFSET(PO!K$12,ROW(B108)-ROW(B$12),0))</f>
        <v>7.4.9.</v>
      </c>
      <c r="C108" s="127" t="str">
        <f ca="1">IF(OFFSET(PO!N$12,ROW(C108)-ROW(C$12),0)=0,"",OFFSET(PO!N$12,ROW(C108)-ROW(C$12),0))</f>
        <v>PIA DE DESPEJO</v>
      </c>
      <c r="D108" s="129" t="str">
        <f ca="1">IF(OFFSET(PO!O$12,ROW(D108)-ROW(D$12),0)=0,"",OFFSET(PO!O$12,ROW(D108)-ROW(D$12),0))</f>
        <v>UM</v>
      </c>
      <c r="E108" s="165">
        <f>IF($A108&lt;&gt;"Serviço",0,ROUND(SUMIF($F$9:$P$9,"&lt;&gt;",$F108:$P108),15-13*PO!$X$3))</f>
        <v>1</v>
      </c>
      <c r="F108" s="398">
        <v>1</v>
      </c>
      <c r="G108" s="398"/>
      <c r="H108" s="398"/>
      <c r="I108" s="398"/>
      <c r="J108" s="398"/>
      <c r="K108" s="398"/>
      <c r="L108" s="398"/>
      <c r="M108" s="398"/>
      <c r="N108" s="398"/>
      <c r="O108" s="398"/>
      <c r="U108" s="215"/>
    </row>
    <row r="109" spans="1:21" s="4" customFormat="1" ht="12.75">
      <c r="A109" s="128" t="str">
        <f ca="1">OFFSET(PO!J$12,ROW(A109)-ROW($A$12),0)</f>
        <v>Meta</v>
      </c>
      <c r="B109" s="130" t="str">
        <f ca="1">IF($A109=0,"",OFFSET(PO!K$12,ROW(B109)-ROW(B$12),0))</f>
        <v>8.</v>
      </c>
      <c r="C109" s="127" t="str">
        <f ca="1">IF(OFFSET(PO!N$12,ROW(C109)-ROW(C$12),0)=0,"",OFFSET(PO!N$12,ROW(C109)-ROW(C$12),0))</f>
        <v>ESQUADRIAS</v>
      </c>
      <c r="D109" s="129">
        <f ca="1">IF(OFFSET(PO!O$12,ROW(D109)-ROW(D$12),0)=0,"",OFFSET(PO!O$12,ROW(D109)-ROW(D$12),0))</f>
      </c>
      <c r="E109" s="165">
        <f>IF($A109&lt;&gt;"Serviço",0,ROUND(SUMIF($F$9:$P$9,"&lt;&gt;",$F109:$P109),15-13*PO!$X$3))</f>
        <v>0</v>
      </c>
      <c r="F109" s="398"/>
      <c r="G109" s="398"/>
      <c r="H109" s="398"/>
      <c r="I109" s="398"/>
      <c r="J109" s="398"/>
      <c r="K109" s="398"/>
      <c r="L109" s="398"/>
      <c r="M109" s="398"/>
      <c r="N109" s="398"/>
      <c r="O109" s="398"/>
      <c r="U109" s="215"/>
    </row>
    <row r="110" spans="1:21" s="4" customFormat="1" ht="12.75">
      <c r="A110" s="128" t="str">
        <f ca="1">OFFSET(PO!J$12,ROW(A110)-ROW($A$12),0)</f>
        <v>Nível 2</v>
      </c>
      <c r="B110" s="130" t="str">
        <f ca="1">IF($A110=0,"",OFFSET(PO!K$12,ROW(B110)-ROW(B$12),0))</f>
        <v>8.1.</v>
      </c>
      <c r="C110" s="127" t="str">
        <f ca="1">IF(OFFSET(PO!N$12,ROW(C110)-ROW(C$12),0)=0,"",OFFSET(PO!N$12,ROW(C110)-ROW(C$12),0))</f>
        <v>INTERNAS</v>
      </c>
      <c r="D110" s="129">
        <f ca="1">IF(OFFSET(PO!O$12,ROW(D110)-ROW(D$12),0)=0,"",OFFSET(PO!O$12,ROW(D110)-ROW(D$12),0))</f>
      </c>
      <c r="E110" s="165">
        <f>IF($A110&lt;&gt;"Serviço",0,ROUND(SUMIF($F$9:$P$9,"&lt;&gt;",$F110:$P110),15-13*PO!$X$3))</f>
        <v>0</v>
      </c>
      <c r="F110" s="398"/>
      <c r="G110" s="398"/>
      <c r="H110" s="398"/>
      <c r="I110" s="398"/>
      <c r="J110" s="398"/>
      <c r="K110" s="398"/>
      <c r="L110" s="398"/>
      <c r="M110" s="398"/>
      <c r="N110" s="398"/>
      <c r="O110" s="398"/>
      <c r="U110" s="215"/>
    </row>
    <row r="111" spans="1:21" s="4" customFormat="1" ht="51">
      <c r="A111" s="128" t="str">
        <f ca="1">OFFSET(PO!J$12,ROW(A111)-ROW($A$12),0)</f>
        <v>Serviço</v>
      </c>
      <c r="B111" s="130" t="str">
        <f ca="1">IF($A111=0,"",OFFSET(PO!K$12,ROW(B111)-ROW(B$12),0))</f>
        <v>8.1.1.</v>
      </c>
      <c r="C111" s="127" t="str">
        <f ca="1">IF(OFFSET(PO!N$12,ROW(C111)-ROW(C$12),0)=0,"",OFFSET(PO!N$12,ROW(C111)-ROW(C$12),0))</f>
        <v>KIT DE PORTA-PRONTA DE MADEIRA EM ACABAMENTO MELAMÍNICO BRANCO, FOLHA PESADA OU SUPERPESADA, 90X210CM, FIXAÇÃO COM PREENCHIMENTO TOTAL DE ESPUMA EXPANSIVA - FORNECIMENTO E INSTALAÇÃO. AF_12/2019</v>
      </c>
      <c r="D111" s="129" t="str">
        <f ca="1">IF(OFFSET(PO!O$12,ROW(D111)-ROW(D$12),0)=0,"",OFFSET(PO!O$12,ROW(D111)-ROW(D$12),0))</f>
        <v>UN</v>
      </c>
      <c r="E111" s="165">
        <f>IF($A111&lt;&gt;"Serviço",0,ROUND(SUMIF($F$9:$P$9,"&lt;&gt;",$F111:$P111),15-13*PO!$X$3))</f>
        <v>3</v>
      </c>
      <c r="F111" s="398">
        <v>3</v>
      </c>
      <c r="G111" s="398"/>
      <c r="H111" s="398"/>
      <c r="I111" s="398"/>
      <c r="J111" s="398"/>
      <c r="K111" s="398"/>
      <c r="L111" s="398"/>
      <c r="M111" s="398"/>
      <c r="N111" s="398"/>
      <c r="O111" s="398"/>
      <c r="U111" s="215"/>
    </row>
    <row r="112" spans="1:21" s="4" customFormat="1" ht="51">
      <c r="A112" s="128" t="str">
        <f ca="1">OFFSET(PO!J$12,ROW(A112)-ROW($A$12),0)</f>
        <v>Serviço</v>
      </c>
      <c r="B112" s="130" t="str">
        <f ca="1">IF($A112=0,"",OFFSET(PO!K$12,ROW(B112)-ROW(B$12),0))</f>
        <v>8.1.2.</v>
      </c>
      <c r="C112" s="127" t="str">
        <f ca="1">IF(OFFSET(PO!N$12,ROW(C112)-ROW(C$12),0)=0,"",OFFSET(PO!N$12,ROW(C112)-ROW(C$12),0))</f>
        <v>KIT DE PORTA-PRONTA DE MADEIRA EM ACABAMENTO MELAMÍNICO BRANCO, FOLHA LEVE OU MÉDIA, E BATENTE METÁLICO, 70X210CM, FIXAÇÃO COM ARGAMASSA - FORNECIMENTO E INSTALAÇÃO. AF_12/2019</v>
      </c>
      <c r="D112" s="129" t="str">
        <f ca="1">IF(OFFSET(PO!O$12,ROW(D112)-ROW(D$12),0)=0,"",OFFSET(PO!O$12,ROW(D112)-ROW(D$12),0))</f>
        <v>UN</v>
      </c>
      <c r="E112" s="165">
        <f>IF($A112&lt;&gt;"Serviço",0,ROUND(SUMIF($F$9:$P$9,"&lt;&gt;",$F112:$P112),15-13*PO!$X$3))</f>
        <v>2</v>
      </c>
      <c r="F112" s="398">
        <v>2</v>
      </c>
      <c r="G112" s="398"/>
      <c r="H112" s="398"/>
      <c r="I112" s="398"/>
      <c r="J112" s="398"/>
      <c r="K112" s="398"/>
      <c r="L112" s="398"/>
      <c r="M112" s="398"/>
      <c r="N112" s="398"/>
      <c r="O112" s="398"/>
      <c r="U112" s="215"/>
    </row>
    <row r="113" spans="1:21" s="4" customFormat="1" ht="12.75">
      <c r="A113" s="128" t="str">
        <f ca="1">OFFSET(PO!J$12,ROW(A113)-ROW($A$12),0)</f>
        <v>Meta</v>
      </c>
      <c r="B113" s="130" t="str">
        <f ca="1">IF($A113=0,"",OFFSET(PO!K$12,ROW(B113)-ROW(B$12),0))</f>
        <v>9.</v>
      </c>
      <c r="C113" s="127" t="str">
        <f ca="1">IF(OFFSET(PO!N$12,ROW(C113)-ROW(C$12),0)=0,"",OFFSET(PO!N$12,ROW(C113)-ROW(C$12),0))</f>
        <v>PINTURA </v>
      </c>
      <c r="D113" s="129">
        <f ca="1">IF(OFFSET(PO!O$12,ROW(D113)-ROW(D$12),0)=0,"",OFFSET(PO!O$12,ROW(D113)-ROW(D$12),0))</f>
      </c>
      <c r="E113" s="165">
        <f>IF($A113&lt;&gt;"Serviço",0,ROUND(SUMIF($F$9:$P$9,"&lt;&gt;",$F113:$P113),15-13*PO!$X$3))</f>
        <v>0</v>
      </c>
      <c r="F113" s="398"/>
      <c r="G113" s="398"/>
      <c r="H113" s="398"/>
      <c r="I113" s="398"/>
      <c r="J113" s="398"/>
      <c r="K113" s="398"/>
      <c r="L113" s="398"/>
      <c r="M113" s="398"/>
      <c r="N113" s="398"/>
      <c r="O113" s="398"/>
      <c r="U113" s="215"/>
    </row>
    <row r="114" spans="1:21" s="4" customFormat="1" ht="12.75">
      <c r="A114" s="128" t="str">
        <f ca="1">OFFSET(PO!J$12,ROW(A114)-ROW($A$12),0)</f>
        <v>Nível 2</v>
      </c>
      <c r="B114" s="130" t="str">
        <f ca="1">IF($A114=0,"",OFFSET(PO!K$12,ROW(B114)-ROW(B$12),0))</f>
        <v>9.1.</v>
      </c>
      <c r="C114" s="127" t="str">
        <f ca="1">IF(OFFSET(PO!N$12,ROW(C114)-ROW(C$12),0)=0,"",OFFSET(PO!N$12,ROW(C114)-ROW(C$12),0))</f>
        <v>PINTURA INTERNA DE PAREDES</v>
      </c>
      <c r="D114" s="129">
        <f ca="1">IF(OFFSET(PO!O$12,ROW(D114)-ROW(D$12),0)=0,"",OFFSET(PO!O$12,ROW(D114)-ROW(D$12),0))</f>
      </c>
      <c r="E114" s="165">
        <f>IF($A114&lt;&gt;"Serviço",0,ROUND(SUMIF($F$9:$P$9,"&lt;&gt;",$F114:$P114),15-13*PO!$X$3))</f>
        <v>0</v>
      </c>
      <c r="F114" s="398">
        <v>60.5</v>
      </c>
      <c r="G114" s="398"/>
      <c r="H114" s="398"/>
      <c r="I114" s="398"/>
      <c r="J114" s="398"/>
      <c r="K114" s="398"/>
      <c r="L114" s="398"/>
      <c r="M114" s="398"/>
      <c r="N114" s="398"/>
      <c r="O114" s="398"/>
      <c r="U114" s="215"/>
    </row>
    <row r="115" spans="1:21" s="4" customFormat="1" ht="25.5">
      <c r="A115" s="128" t="str">
        <f ca="1">OFFSET(PO!J$12,ROW(A115)-ROW($A$12),0)</f>
        <v>Serviço</v>
      </c>
      <c r="B115" s="130" t="str">
        <f ca="1">IF($A115=0,"",OFFSET(PO!K$12,ROW(B115)-ROW(B$12),0))</f>
        <v>9.1.1.</v>
      </c>
      <c r="C115" s="127" t="str">
        <f ca="1">IF(OFFSET(PO!N$12,ROW(C115)-ROW(C$12),0)=0,"",OFFSET(PO!N$12,ROW(C115)-ROW(C$12),0))</f>
        <v>LIXAMENTO DE PAREDE PARA APLICAÇÃO DE FUNDO PREPARADOR</v>
      </c>
      <c r="D115" s="129" t="str">
        <f ca="1">IF(OFFSET(PO!O$12,ROW(D115)-ROW(D$12),0)=0,"",OFFSET(PO!O$12,ROW(D115)-ROW(D$12),0))</f>
        <v>m²</v>
      </c>
      <c r="E115" s="165">
        <f>IF($A115&lt;&gt;"Serviço",0,ROUND(SUMIF($F$9:$P$9,"&lt;&gt;",$F115:$P115),15-13*PO!$X$3))</f>
        <v>916.38</v>
      </c>
      <c r="F115" s="398">
        <v>916.38</v>
      </c>
      <c r="G115" s="398"/>
      <c r="H115" s="398"/>
      <c r="I115" s="398"/>
      <c r="J115" s="398"/>
      <c r="K115" s="398"/>
      <c r="L115" s="398"/>
      <c r="M115" s="398"/>
      <c r="N115" s="398"/>
      <c r="O115" s="398"/>
      <c r="U115" s="215"/>
    </row>
    <row r="116" spans="1:21" s="4" customFormat="1" ht="12.75">
      <c r="A116" s="128" t="str">
        <f ca="1">OFFSET(PO!J$12,ROW(A116)-ROW($A$12),0)</f>
        <v>Serviço</v>
      </c>
      <c r="B116" s="130" t="str">
        <f ca="1">IF($A116=0,"",OFFSET(PO!K$12,ROW(B116)-ROW(B$12),0))</f>
        <v>9.1.2.</v>
      </c>
      <c r="C116" s="127" t="str">
        <f ca="1">IF(OFFSET(PO!N$12,ROW(C116)-ROW(C$12),0)=0,"",OFFSET(PO!N$12,ROW(C116)-ROW(C$12),0))</f>
        <v>APLICAÇÃO DE FUNDO PREPARADOR</v>
      </c>
      <c r="D116" s="129" t="str">
        <f ca="1">IF(OFFSET(PO!O$12,ROW(D116)-ROW(D$12),0)=0,"",OFFSET(PO!O$12,ROW(D116)-ROW(D$12),0))</f>
        <v>M²</v>
      </c>
      <c r="E116" s="165">
        <f>IF($A116&lt;&gt;"Serviço",0,ROUND(SUMIF($F$9:$P$9,"&lt;&gt;",$F116:$P116),15-13*PO!$X$3))</f>
        <v>916.38</v>
      </c>
      <c r="F116" s="398">
        <f>F115</f>
        <v>916.38</v>
      </c>
      <c r="G116" s="398"/>
      <c r="H116" s="398"/>
      <c r="I116" s="398"/>
      <c r="J116" s="398"/>
      <c r="K116" s="398"/>
      <c r="L116" s="398"/>
      <c r="M116" s="398"/>
      <c r="N116" s="398"/>
      <c r="O116" s="398"/>
      <c r="U116" s="215"/>
    </row>
    <row r="117" spans="1:21" s="4" customFormat="1" ht="25.5">
      <c r="A117" s="128" t="str">
        <f ca="1">OFFSET(PO!J$12,ROW(A117)-ROW($A$12),0)</f>
        <v>Serviço</v>
      </c>
      <c r="B117" s="130" t="str">
        <f ca="1">IF($A117=0,"",OFFSET(PO!K$12,ROW(B117)-ROW(B$12),0))</f>
        <v>9.1.3.</v>
      </c>
      <c r="C117" s="127" t="str">
        <f ca="1">IF(OFFSET(PO!N$12,ROW(C117)-ROW(C$12),0)=0,"",OFFSET(PO!N$12,ROW(C117)-ROW(C$12),0))</f>
        <v>EMASSAMENTO COM MASSA LÁTEX, APLICAÇÃO EM PAREDE, DUAS DEMÃOS, LIXAMENTO MANUAL. AF_04/2023</v>
      </c>
      <c r="D117" s="129" t="str">
        <f ca="1">IF(OFFSET(PO!O$12,ROW(D117)-ROW(D$12),0)=0,"",OFFSET(PO!O$12,ROW(D117)-ROW(D$12),0))</f>
        <v>M2</v>
      </c>
      <c r="E117" s="165">
        <f>IF($A117&lt;&gt;"Serviço",0,ROUND(SUMIF($F$9:$P$9,"&lt;&gt;",$F117:$P117),15-13*PO!$X$3))</f>
        <v>916.38</v>
      </c>
      <c r="F117" s="398">
        <f>F115</f>
        <v>916.38</v>
      </c>
      <c r="G117" s="398"/>
      <c r="H117" s="398"/>
      <c r="I117" s="398"/>
      <c r="J117" s="398"/>
      <c r="K117" s="398"/>
      <c r="L117" s="398"/>
      <c r="M117" s="398"/>
      <c r="N117" s="398"/>
      <c r="O117" s="398"/>
      <c r="U117" s="215"/>
    </row>
    <row r="118" spans="1:21" s="4" customFormat="1" ht="25.5">
      <c r="A118" s="128" t="str">
        <f ca="1">OFFSET(PO!J$12,ROW(A118)-ROW($A$12),0)</f>
        <v>Serviço</v>
      </c>
      <c r="B118" s="130" t="str">
        <f ca="1">IF($A118=0,"",OFFSET(PO!K$12,ROW(B118)-ROW(B$12),0))</f>
        <v>9.1.4.</v>
      </c>
      <c r="C118" s="127" t="str">
        <f ca="1">IF(OFFSET(PO!N$12,ROW(C118)-ROW(C$12),0)=0,"",OFFSET(PO!N$12,ROW(C118)-ROW(C$12),0))</f>
        <v>PINTURA LÁTEX ACRÍLICA PREMIUM, APLICAÇÃO MANUAL EM PAREDES, DUAS DEMÃOS. AF_04/2023</v>
      </c>
      <c r="D118" s="129" t="str">
        <f ca="1">IF(OFFSET(PO!O$12,ROW(D118)-ROW(D$12),0)=0,"",OFFSET(PO!O$12,ROW(D118)-ROW(D$12),0))</f>
        <v>M2</v>
      </c>
      <c r="E118" s="165">
        <f>IF($A118&lt;&gt;"Serviço",0,ROUND(SUMIF($F$9:$P$9,"&lt;&gt;",$F118:$P118),15-13*PO!$X$3))</f>
        <v>916.38</v>
      </c>
      <c r="F118" s="398">
        <f>F115</f>
        <v>916.38</v>
      </c>
      <c r="G118" s="398"/>
      <c r="H118" s="398"/>
      <c r="I118" s="398"/>
      <c r="J118" s="398"/>
      <c r="K118" s="398"/>
      <c r="L118" s="398"/>
      <c r="M118" s="398"/>
      <c r="N118" s="398"/>
      <c r="O118" s="398"/>
      <c r="U118" s="215"/>
    </row>
    <row r="119" spans="1:21" s="4" customFormat="1" ht="12.75">
      <c r="A119" s="128" t="str">
        <f ca="1">OFFSET(PO!J$12,ROW(A119)-ROW($A$12),0)</f>
        <v>Nível 2</v>
      </c>
      <c r="B119" s="130" t="str">
        <f ca="1">IF($A119=0,"",OFFSET(PO!K$12,ROW(B119)-ROW(B$12),0))</f>
        <v>9.2.</v>
      </c>
      <c r="C119" s="127" t="str">
        <f ca="1">IF(OFFSET(PO!N$12,ROW(C119)-ROW(C$12),0)=0,"",OFFSET(PO!N$12,ROW(C119)-ROW(C$12),0))</f>
        <v>PINTURA DE FORROS</v>
      </c>
      <c r="D119" s="129">
        <f ca="1">IF(OFFSET(PO!O$12,ROW(D119)-ROW(D$12),0)=0,"",OFFSET(PO!O$12,ROW(D119)-ROW(D$12),0))</f>
      </c>
      <c r="E119" s="165">
        <f>IF($A119&lt;&gt;"Serviço",0,ROUND(SUMIF($F$9:$P$9,"&lt;&gt;",$F119:$P119),15-13*PO!$X$3))</f>
        <v>0</v>
      </c>
      <c r="F119" s="398"/>
      <c r="G119" s="398"/>
      <c r="H119" s="398"/>
      <c r="I119" s="398"/>
      <c r="J119" s="398"/>
      <c r="K119" s="398"/>
      <c r="L119" s="398"/>
      <c r="M119" s="398"/>
      <c r="N119" s="398"/>
      <c r="O119" s="398"/>
      <c r="U119" s="215"/>
    </row>
    <row r="120" spans="1:21" s="4" customFormat="1" ht="25.5">
      <c r="A120" s="128" t="str">
        <f ca="1">OFFSET(PO!J$12,ROW(A120)-ROW($A$12),0)</f>
        <v>Serviço</v>
      </c>
      <c r="B120" s="130" t="str">
        <f ca="1">IF($A120=0,"",OFFSET(PO!K$12,ROW(B120)-ROW(B$12),0))</f>
        <v>9.2.1.</v>
      </c>
      <c r="C120" s="127" t="str">
        <f ca="1">IF(OFFSET(PO!N$12,ROW(C120)-ROW(C$12),0)=0,"",OFFSET(PO!N$12,ROW(C120)-ROW(C$12),0))</f>
        <v>EMASSAMENTO COM MASSA LÁTEX, APLICAÇÃO EM TETO, DUAS DEMÃOS, LIXAMENTO MANUAL. AF_04/2023</v>
      </c>
      <c r="D120" s="129" t="str">
        <f ca="1">IF(OFFSET(PO!O$12,ROW(D120)-ROW(D$12),0)=0,"",OFFSET(PO!O$12,ROW(D120)-ROW(D$12),0))</f>
        <v>M2</v>
      </c>
      <c r="E120" s="165">
        <f>IF($A120&lt;&gt;"Serviço",0,ROUND(SUMIF($F$9:$P$9,"&lt;&gt;",$F120:$P120),15-13*PO!$X$3))</f>
        <v>327.55</v>
      </c>
      <c r="F120" s="398">
        <v>327.55</v>
      </c>
      <c r="G120" s="398"/>
      <c r="H120" s="398"/>
      <c r="I120" s="398"/>
      <c r="J120" s="398"/>
      <c r="K120" s="398"/>
      <c r="L120" s="398"/>
      <c r="M120" s="398"/>
      <c r="N120" s="398"/>
      <c r="O120" s="398"/>
      <c r="U120" s="215"/>
    </row>
    <row r="121" spans="1:21" s="4" customFormat="1" ht="25.5">
      <c r="A121" s="128" t="str">
        <f ca="1">OFFSET(PO!J$12,ROW(A121)-ROW($A$12),0)</f>
        <v>Serviço</v>
      </c>
      <c r="B121" s="130" t="str">
        <f ca="1">IF($A121=0,"",OFFSET(PO!K$12,ROW(B121)-ROW(B$12),0))</f>
        <v>9.2.2.</v>
      </c>
      <c r="C121" s="127" t="str">
        <f ca="1">IF(OFFSET(PO!N$12,ROW(C121)-ROW(C$12),0)=0,"",OFFSET(PO!N$12,ROW(C121)-ROW(C$12),0))</f>
        <v>FUNDO SELADOR ACRÍLICO, APLICAÇÃO MANUAL EM TETO, UMA DEMÃO. AF_04/2023</v>
      </c>
      <c r="D121" s="129" t="str">
        <f ca="1">IF(OFFSET(PO!O$12,ROW(D121)-ROW(D$12),0)=0,"",OFFSET(PO!O$12,ROW(D121)-ROW(D$12),0))</f>
        <v>M2</v>
      </c>
      <c r="E121" s="165">
        <f>IF($A121&lt;&gt;"Serviço",0,ROUND(SUMIF($F$9:$P$9,"&lt;&gt;",$F121:$P121),15-13*PO!$X$3))</f>
        <v>327.55</v>
      </c>
      <c r="F121" s="398">
        <f>F120</f>
        <v>327.55</v>
      </c>
      <c r="G121" s="398"/>
      <c r="H121" s="398"/>
      <c r="I121" s="398"/>
      <c r="J121" s="398"/>
      <c r="K121" s="398"/>
      <c r="L121" s="398"/>
      <c r="M121" s="398"/>
      <c r="N121" s="398"/>
      <c r="O121" s="398"/>
      <c r="U121" s="215"/>
    </row>
    <row r="122" spans="1:21" s="4" customFormat="1" ht="25.5">
      <c r="A122" s="128" t="str">
        <f ca="1">OFFSET(PO!J$12,ROW(A122)-ROW($A$12),0)</f>
        <v>Serviço</v>
      </c>
      <c r="B122" s="130" t="str">
        <f ca="1">IF($A122=0,"",OFFSET(PO!K$12,ROW(B122)-ROW(B$12),0))</f>
        <v>9.2.3.</v>
      </c>
      <c r="C122" s="127" t="str">
        <f ca="1">IF(OFFSET(PO!N$12,ROW(C122)-ROW(C$12),0)=0,"",OFFSET(PO!N$12,ROW(C122)-ROW(C$12),0))</f>
        <v>PINTURA LÁTEX ACRÍLICA PREMIUM, APLICAÇÃO MANUAL EM TETO, DUAS DEMÃOS. AF_04/2023</v>
      </c>
      <c r="D122" s="129" t="str">
        <f ca="1">IF(OFFSET(PO!O$12,ROW(D122)-ROW(D$12),0)=0,"",OFFSET(PO!O$12,ROW(D122)-ROW(D$12),0))</f>
        <v>M2</v>
      </c>
      <c r="E122" s="165">
        <f>IF($A122&lt;&gt;"Serviço",0,ROUND(SUMIF($F$9:$P$9,"&lt;&gt;",$F122:$P122),15-13*PO!$X$3))</f>
        <v>327.55</v>
      </c>
      <c r="F122" s="398">
        <f>F121</f>
        <v>327.55</v>
      </c>
      <c r="G122" s="398"/>
      <c r="H122" s="398"/>
      <c r="I122" s="398"/>
      <c r="J122" s="398"/>
      <c r="K122" s="398"/>
      <c r="L122" s="398"/>
      <c r="M122" s="398"/>
      <c r="N122" s="398"/>
      <c r="O122" s="398"/>
      <c r="U122" s="215"/>
    </row>
    <row r="123" spans="1:21" s="4" customFormat="1" ht="12.75">
      <c r="A123" s="128" t="str">
        <f ca="1">OFFSET(PO!J$12,ROW(A123)-ROW($A$12),0)</f>
        <v>Nível 2</v>
      </c>
      <c r="B123" s="130" t="str">
        <f ca="1">IF($A123=0,"",OFFSET(PO!K$12,ROW(B123)-ROW(B$12),0))</f>
        <v>9.3.</v>
      </c>
      <c r="C123" s="127" t="str">
        <f ca="1">IF(OFFSET(PO!N$12,ROW(C123)-ROW(C$12),0)=0,"",OFFSET(PO!N$12,ROW(C123)-ROW(C$12),0))</f>
        <v>PINTURA DE ESQUADRIAS</v>
      </c>
      <c r="D123" s="129">
        <f ca="1">IF(OFFSET(PO!O$12,ROW(D123)-ROW(D$12),0)=0,"",OFFSET(PO!O$12,ROW(D123)-ROW(D$12),0))</f>
      </c>
      <c r="E123" s="165">
        <f>IF($A123&lt;&gt;"Serviço",0,ROUND(SUMIF($F$9:$P$9,"&lt;&gt;",$F123:$P123),15-13*PO!$X$3))</f>
        <v>0</v>
      </c>
      <c r="F123" s="398"/>
      <c r="G123" s="398"/>
      <c r="H123" s="398"/>
      <c r="I123" s="398"/>
      <c r="J123" s="398"/>
      <c r="K123" s="398"/>
      <c r="L123" s="398"/>
      <c r="M123" s="398"/>
      <c r="N123" s="398"/>
      <c r="O123" s="398"/>
      <c r="U123" s="215"/>
    </row>
    <row r="124" spans="1:21" s="4" customFormat="1" ht="25.5">
      <c r="A124" s="128" t="str">
        <f ca="1">OFFSET(PO!J$12,ROW(A124)-ROW($A$12),0)</f>
        <v>Serviço</v>
      </c>
      <c r="B124" s="130" t="str">
        <f ca="1">IF($A124=0,"",OFFSET(PO!K$12,ROW(B124)-ROW(B$12),0))</f>
        <v>9.3.1.</v>
      </c>
      <c r="C124" s="127" t="str">
        <f ca="1">IF(OFFSET(PO!N$12,ROW(C124)-ROW(C$12),0)=0,"",OFFSET(PO!N$12,ROW(C124)-ROW(C$12),0))</f>
        <v>LIXAMENTO DE MADEIRA PARA APLICAÇÃO DE FUNDO OU PINTURA. AF_01/2021</v>
      </c>
      <c r="D124" s="129" t="str">
        <f ca="1">IF(OFFSET(PO!O$12,ROW(D124)-ROW(D$12),0)=0,"",OFFSET(PO!O$12,ROW(D124)-ROW(D$12),0))</f>
        <v>M2</v>
      </c>
      <c r="E124" s="165">
        <f>IF($A124&lt;&gt;"Serviço",0,ROUND(SUMIF($F$9:$P$9,"&lt;&gt;",$F124:$P124),15-13*PO!$X$3))</f>
        <v>76.26</v>
      </c>
      <c r="F124" s="398">
        <v>76.26</v>
      </c>
      <c r="G124" s="398"/>
      <c r="H124" s="398"/>
      <c r="I124" s="398"/>
      <c r="J124" s="398"/>
      <c r="K124" s="398"/>
      <c r="L124" s="398"/>
      <c r="M124" s="398"/>
      <c r="N124" s="398"/>
      <c r="O124" s="398"/>
      <c r="U124" s="215"/>
    </row>
    <row r="125" spans="1:21" s="4" customFormat="1" ht="25.5">
      <c r="A125" s="128" t="str">
        <f ca="1">OFFSET(PO!J$12,ROW(A125)-ROW($A$12),0)</f>
        <v>Serviço</v>
      </c>
      <c r="B125" s="130" t="str">
        <f ca="1">IF($A125=0,"",OFFSET(PO!K$12,ROW(B125)-ROW(B$12),0))</f>
        <v>9.3.2.</v>
      </c>
      <c r="C125" s="127" t="str">
        <f ca="1">IF(OFFSET(PO!N$12,ROW(C125)-ROW(C$12),0)=0,"",OFFSET(PO!N$12,ROW(C125)-ROW(C$12),0))</f>
        <v>PINTURA TINTA DE ACABAMENTO (PIGMENTADA) A ÓLEO EM MADEIRA, 2 DEMÃOS. AF_01/2021</v>
      </c>
      <c r="D125" s="129" t="str">
        <f ca="1">IF(OFFSET(PO!O$12,ROW(D125)-ROW(D$12),0)=0,"",OFFSET(PO!O$12,ROW(D125)-ROW(D$12),0))</f>
        <v>M2</v>
      </c>
      <c r="E125" s="165">
        <f>IF($A125&lt;&gt;"Serviço",0,ROUND(SUMIF($F$9:$P$9,"&lt;&gt;",$F125:$P125),15-13*PO!$X$3))</f>
        <v>76.26</v>
      </c>
      <c r="F125" s="398">
        <v>76.26</v>
      </c>
      <c r="G125" s="398"/>
      <c r="H125" s="398"/>
      <c r="I125" s="398"/>
      <c r="J125" s="398"/>
      <c r="K125" s="398"/>
      <c r="L125" s="398"/>
      <c r="M125" s="398"/>
      <c r="N125" s="398"/>
      <c r="O125" s="398"/>
      <c r="U125" s="215"/>
    </row>
    <row r="126" spans="1:21" s="4" customFormat="1" ht="12.75">
      <c r="A126" s="128" t="str">
        <f ca="1">OFFSET(PO!J$12,ROW(A126)-ROW($A$12),0)</f>
        <v>Meta</v>
      </c>
      <c r="B126" s="130" t="str">
        <f ca="1">IF($A126=0,"",OFFSET(PO!K$12,ROW(B126)-ROW(B$12),0))</f>
        <v>10.</v>
      </c>
      <c r="C126" s="127" t="str">
        <f ca="1">IF(OFFSET(PO!N$12,ROW(C126)-ROW(C$12),0)=0,"",OFFSET(PO!N$12,ROW(C126)-ROW(C$12),0))</f>
        <v>CONSTRUÇÃO DO ABRIGO TEMPORÁRIO DE RESÍDUOS</v>
      </c>
      <c r="D126" s="129">
        <f ca="1">IF(OFFSET(PO!O$12,ROW(D126)-ROW(D$12),0)=0,"",OFFSET(PO!O$12,ROW(D126)-ROW(D$12),0))</f>
      </c>
      <c r="E126" s="165">
        <f>IF($A126&lt;&gt;"Serviço",0,ROUND(SUMIF($F$9:$P$9,"&lt;&gt;",$F126:$P126),15-13*PO!$X$3))</f>
        <v>0</v>
      </c>
      <c r="F126" s="398"/>
      <c r="G126" s="398"/>
      <c r="H126" s="398"/>
      <c r="I126" s="398"/>
      <c r="J126" s="398"/>
      <c r="K126" s="398"/>
      <c r="L126" s="398"/>
      <c r="M126" s="398"/>
      <c r="N126" s="398"/>
      <c r="O126" s="398"/>
      <c r="U126" s="215"/>
    </row>
    <row r="127" spans="1:21" s="4" customFormat="1" ht="12.75">
      <c r="A127" s="128" t="str">
        <f ca="1">OFFSET(PO!J$12,ROW(A127)-ROW($A$12),0)</f>
        <v>Nível 2</v>
      </c>
      <c r="B127" s="130" t="str">
        <f ca="1">IF($A127=0,"",OFFSET(PO!K$12,ROW(B127)-ROW(B$12),0))</f>
        <v>10.1.</v>
      </c>
      <c r="C127" s="127" t="str">
        <f ca="1">IF(OFFSET(PO!N$12,ROW(C127)-ROW(C$12),0)=0,"",OFFSET(PO!N$12,ROW(C127)-ROW(C$12),0))</f>
        <v>FUNDAÇÕES SUPERFICIAIS </v>
      </c>
      <c r="D127" s="129">
        <f ca="1">IF(OFFSET(PO!O$12,ROW(D127)-ROW(D$12),0)=0,"",OFFSET(PO!O$12,ROW(D127)-ROW(D$12),0))</f>
      </c>
      <c r="E127" s="165">
        <f>IF($A127&lt;&gt;"Serviço",0,ROUND(SUMIF($F$9:$P$9,"&lt;&gt;",$F127:$P127),15-13*PO!$X$3))</f>
        <v>0</v>
      </c>
      <c r="F127" s="398"/>
      <c r="G127" s="398"/>
      <c r="H127" s="398"/>
      <c r="I127" s="398"/>
      <c r="J127" s="398"/>
      <c r="K127" s="398"/>
      <c r="L127" s="398"/>
      <c r="M127" s="398"/>
      <c r="N127" s="398"/>
      <c r="O127" s="398"/>
      <c r="U127" s="215"/>
    </row>
    <row r="128" spans="1:21" s="4" customFormat="1" ht="25.5">
      <c r="A128" s="128" t="str">
        <f ca="1">OFFSET(PO!J$12,ROW(A128)-ROW($A$12),0)</f>
        <v>Serviço</v>
      </c>
      <c r="B128" s="130" t="str">
        <f ca="1">IF($A128=0,"",OFFSET(PO!K$12,ROW(B128)-ROW(B$12),0))</f>
        <v>10.1.1.</v>
      </c>
      <c r="C128" s="127" t="str">
        <f ca="1">IF(OFFSET(PO!N$12,ROW(C128)-ROW(C$12),0)=0,"",OFFSET(PO!N$12,ROW(C128)-ROW(C$12),0))</f>
        <v>ESCAVAÇÃO MANUAL DE VALA COM PROFUNDIDADE MENOR OU IGUAL A 1,30 M. AF_02/2021</v>
      </c>
      <c r="D128" s="129" t="str">
        <f ca="1">IF(OFFSET(PO!O$12,ROW(D128)-ROW(D$12),0)=0,"",OFFSET(PO!O$12,ROW(D128)-ROW(D$12),0))</f>
        <v>M3</v>
      </c>
      <c r="E128" s="165">
        <f>IF($A128&lt;&gt;"Serviço",0,ROUND(SUMIF($F$9:$P$9,"&lt;&gt;",$F128:$P128),15-13*PO!$X$3))</f>
        <v>1.16</v>
      </c>
      <c r="F128" s="398">
        <v>1.16</v>
      </c>
      <c r="G128" s="398"/>
      <c r="H128" s="398"/>
      <c r="I128" s="398"/>
      <c r="J128" s="398"/>
      <c r="K128" s="398"/>
      <c r="L128" s="398"/>
      <c r="M128" s="398"/>
      <c r="N128" s="398"/>
      <c r="O128" s="398"/>
      <c r="U128" s="215"/>
    </row>
    <row r="129" spans="1:21" s="4" customFormat="1" ht="38.25">
      <c r="A129" s="128" t="str">
        <f ca="1">OFFSET(PO!J$12,ROW(A129)-ROW($A$12),0)</f>
        <v>Serviço</v>
      </c>
      <c r="B129" s="130" t="str">
        <f ca="1">IF($A129=0,"",OFFSET(PO!K$12,ROW(B129)-ROW(B$12),0))</f>
        <v>10.1.2.</v>
      </c>
      <c r="C129" s="127" t="str">
        <f ca="1">IF(OFFSET(PO!N$12,ROW(C129)-ROW(C$12),0)=0,"",OFFSET(PO!N$12,ROW(C129)-ROW(C$12),0))</f>
        <v>CONCRETO FCK = 20MPA, TRAÇO 1:2,7:3 (EM MASSA SECA DE CIMENTO/ AREIA MÉDIA/ BRITA 1) - PREPARO MECÂNICO COM BETONEIRA 400 L. AF_05/2021</v>
      </c>
      <c r="D129" s="129" t="str">
        <f ca="1">IF(OFFSET(PO!O$12,ROW(D129)-ROW(D$12),0)=0,"",OFFSET(PO!O$12,ROW(D129)-ROW(D$12),0))</f>
        <v>M3</v>
      </c>
      <c r="E129" s="165">
        <f>IF($A129&lt;&gt;"Serviço",0,ROUND(SUMIF($F$9:$P$9,"&lt;&gt;",$F129:$P129),15-13*PO!$X$3))</f>
        <v>1.16</v>
      </c>
      <c r="F129" s="398">
        <v>1.16</v>
      </c>
      <c r="G129" s="398"/>
      <c r="H129" s="398"/>
      <c r="I129" s="398"/>
      <c r="J129" s="398"/>
      <c r="K129" s="398"/>
      <c r="L129" s="398"/>
      <c r="M129" s="398"/>
      <c r="N129" s="398"/>
      <c r="O129" s="398"/>
      <c r="U129" s="215"/>
    </row>
    <row r="130" spans="1:21" s="4" customFormat="1" ht="12.75">
      <c r="A130" s="128" t="str">
        <f ca="1">OFFSET(PO!J$12,ROW(A130)-ROW($A$12),0)</f>
        <v>Nível 2</v>
      </c>
      <c r="B130" s="130" t="str">
        <f ca="1">IF($A130=0,"",OFFSET(PO!K$12,ROW(B130)-ROW(B$12),0))</f>
        <v>10.2.</v>
      </c>
      <c r="C130" s="127" t="str">
        <f ca="1">IF(OFFSET(PO!N$12,ROW(C130)-ROW(C$12),0)=0,"",OFFSET(PO!N$12,ROW(C130)-ROW(C$12),0))</f>
        <v>VIGAMENTO DE BADRAME      </v>
      </c>
      <c r="D130" s="129">
        <f ca="1">IF(OFFSET(PO!O$12,ROW(D130)-ROW(D$12),0)=0,"",OFFSET(PO!O$12,ROW(D130)-ROW(D$12),0))</f>
      </c>
      <c r="E130" s="165">
        <f>IF($A130&lt;&gt;"Serviço",0,ROUND(SUMIF($F$9:$P$9,"&lt;&gt;",$F130:$P130),15-13*PO!$X$3))</f>
        <v>0</v>
      </c>
      <c r="F130" s="398"/>
      <c r="G130" s="398"/>
      <c r="H130" s="398"/>
      <c r="I130" s="398"/>
      <c r="J130" s="398"/>
      <c r="K130" s="398"/>
      <c r="L130" s="398"/>
      <c r="M130" s="398"/>
      <c r="N130" s="398"/>
      <c r="O130" s="398"/>
      <c r="U130" s="215"/>
    </row>
    <row r="131" spans="1:21" s="4" customFormat="1" ht="25.5">
      <c r="A131" s="128" t="str">
        <f ca="1">OFFSET(PO!J$12,ROW(A131)-ROW($A$12),0)</f>
        <v>Serviço</v>
      </c>
      <c r="B131" s="130" t="str">
        <f ca="1">IF($A131=0,"",OFFSET(PO!K$12,ROW(B131)-ROW(B$12),0))</f>
        <v>10.2.1.</v>
      </c>
      <c r="C131" s="127" t="str">
        <f ca="1">IF(OFFSET(PO!N$12,ROW(C131)-ROW(C$12),0)=0,"",OFFSET(PO!N$12,ROW(C131)-ROW(C$12),0))</f>
        <v>FABRICAÇÃO DE FÔRMA PARA VIGAS, COM MADEIRA SERRADA, E = 25 MM. AF_09/2020</v>
      </c>
      <c r="D131" s="129" t="str">
        <f ca="1">IF(OFFSET(PO!O$12,ROW(D131)-ROW(D$12),0)=0,"",OFFSET(PO!O$12,ROW(D131)-ROW(D$12),0))</f>
        <v>M2</v>
      </c>
      <c r="E131" s="165">
        <f>IF($A131&lt;&gt;"Serviço",0,ROUND(SUMIF($F$9:$P$9,"&lt;&gt;",$F131:$P131),15-13*PO!$X$3))</f>
        <v>2.53</v>
      </c>
      <c r="F131" s="398">
        <v>2.53</v>
      </c>
      <c r="G131" s="398"/>
      <c r="H131" s="398"/>
      <c r="I131" s="398"/>
      <c r="J131" s="398"/>
      <c r="K131" s="398"/>
      <c r="L131" s="398"/>
      <c r="M131" s="398"/>
      <c r="N131" s="398"/>
      <c r="O131" s="398"/>
      <c r="U131" s="215"/>
    </row>
    <row r="132" spans="1:21" s="4" customFormat="1" ht="25.5">
      <c r="A132" s="128" t="str">
        <f ca="1">OFFSET(PO!J$12,ROW(A132)-ROW($A$12),0)</f>
        <v>Serviço</v>
      </c>
      <c r="B132" s="130" t="str">
        <f ca="1">IF($A132=0,"",OFFSET(PO!K$12,ROW(B132)-ROW(B$12),0))</f>
        <v>10.2.2.</v>
      </c>
      <c r="C132" s="127" t="str">
        <f ca="1">IF(OFFSET(PO!N$12,ROW(C132)-ROW(C$12),0)=0,"",OFFSET(PO!N$12,ROW(C132)-ROW(C$12),0))</f>
        <v>ARMAÇÃO DE BLOCO, VIGA BALDRAME OU SAPATA UTILIZANDO AÇO CA-50 DE 10 MM - MONTAGEM. AF_06/2017</v>
      </c>
      <c r="D132" s="129" t="str">
        <f ca="1">IF(OFFSET(PO!O$12,ROW(D132)-ROW(D$12),0)=0,"",OFFSET(PO!O$12,ROW(D132)-ROW(D$12),0))</f>
        <v>KG</v>
      </c>
      <c r="E132" s="165">
        <f>IF($A132&lt;&gt;"Serviço",0,ROUND(SUMIF($F$9:$P$9,"&lt;&gt;",$F132:$P132),15-13*PO!$X$3))</f>
        <v>20.81</v>
      </c>
      <c r="F132" s="398">
        <v>20.81</v>
      </c>
      <c r="G132" s="398"/>
      <c r="H132" s="398"/>
      <c r="I132" s="398"/>
      <c r="J132" s="398"/>
      <c r="K132" s="398"/>
      <c r="L132" s="398"/>
      <c r="M132" s="398"/>
      <c r="N132" s="398"/>
      <c r="O132" s="398"/>
      <c r="U132" s="215"/>
    </row>
    <row r="133" spans="1:21" s="4" customFormat="1" ht="25.5">
      <c r="A133" s="128" t="str">
        <f ca="1">OFFSET(PO!J$12,ROW(A133)-ROW($A$12),0)</f>
        <v>Serviço</v>
      </c>
      <c r="B133" s="130" t="str">
        <f ca="1">IF($A133=0,"",OFFSET(PO!K$12,ROW(B133)-ROW(B$12),0))</f>
        <v>10.2.3.</v>
      </c>
      <c r="C133" s="127" t="str">
        <f ca="1">IF(OFFSET(PO!N$12,ROW(C133)-ROW(C$12),0)=0,"",OFFSET(PO!N$12,ROW(C133)-ROW(C$12),0))</f>
        <v>ARMAÇÃO DE BLOCO, VIGA BALDRAME E SAPATA UTILIZANDO AÇO CA-60 DE 5 MM - MONTAGEM. AF_06/2017</v>
      </c>
      <c r="D133" s="129" t="str">
        <f ca="1">IF(OFFSET(PO!O$12,ROW(D133)-ROW(D$12),0)=0,"",OFFSET(PO!O$12,ROW(D133)-ROW(D$12),0))</f>
        <v>KG</v>
      </c>
      <c r="E133" s="165">
        <f>IF($A133&lt;&gt;"Serviço",0,ROUND(SUMIF($F$9:$P$9,"&lt;&gt;",$F133:$P133),15-13*PO!$X$3))</f>
        <v>5.86</v>
      </c>
      <c r="F133" s="398">
        <v>5.86</v>
      </c>
      <c r="G133" s="398"/>
      <c r="H133" s="398"/>
      <c r="I133" s="398"/>
      <c r="J133" s="398"/>
      <c r="K133" s="398"/>
      <c r="L133" s="398"/>
      <c r="M133" s="398"/>
      <c r="N133" s="398"/>
      <c r="O133" s="398"/>
      <c r="U133" s="215"/>
    </row>
    <row r="134" spans="1:21" s="4" customFormat="1" ht="38.25">
      <c r="A134" s="128" t="str">
        <f ca="1">OFFSET(PO!J$12,ROW(A134)-ROW($A$12),0)</f>
        <v>Serviço</v>
      </c>
      <c r="B134" s="130" t="str">
        <f ca="1">IF($A134=0,"",OFFSET(PO!K$12,ROW(B134)-ROW(B$12),0))</f>
        <v>10.2.4.</v>
      </c>
      <c r="C134" s="127" t="str">
        <f ca="1">IF(OFFSET(PO!N$12,ROW(C134)-ROW(C$12),0)=0,"",OFFSET(PO!N$12,ROW(C134)-ROW(C$12),0))</f>
        <v>CONCRETO FCK = 20MPA, TRAÇO 1:2,7:3 (EM MASSA SECA DE CIMENTO/ AREIA MÉDIA/ BRITA 1) - PREPARO MECÂNICO COM BETONEIRA 400 L. AF_05/2021</v>
      </c>
      <c r="D134" s="129" t="str">
        <f ca="1">IF(OFFSET(PO!O$12,ROW(D134)-ROW(D$12),0)=0,"",OFFSET(PO!O$12,ROW(D134)-ROW(D$12),0))</f>
        <v>M3</v>
      </c>
      <c r="E134" s="165">
        <f>IF($A134&lt;&gt;"Serviço",0,ROUND(SUMIF($F$9:$P$9,"&lt;&gt;",$F134:$P134),15-13*PO!$X$3))</f>
        <v>0.1</v>
      </c>
      <c r="F134" s="398">
        <v>0.1</v>
      </c>
      <c r="G134" s="398"/>
      <c r="H134" s="398"/>
      <c r="I134" s="398"/>
      <c r="J134" s="398"/>
      <c r="K134" s="398"/>
      <c r="L134" s="398"/>
      <c r="M134" s="398"/>
      <c r="N134" s="398"/>
      <c r="O134" s="398"/>
      <c r="U134" s="215"/>
    </row>
    <row r="135" spans="1:21" s="4" customFormat="1" ht="25.5">
      <c r="A135" s="128" t="str">
        <f ca="1">OFFSET(PO!J$12,ROW(A135)-ROW($A$12),0)</f>
        <v>Nível 2</v>
      </c>
      <c r="B135" s="130" t="str">
        <f ca="1">IF($A135=0,"",OFFSET(PO!K$12,ROW(B135)-ROW(B$12),0))</f>
        <v>10.3.</v>
      </c>
      <c r="C135" s="127" t="str">
        <f ca="1">IF(OFFSET(PO!N$12,ROW(C135)-ROW(C$12),0)=0,"",OFFSET(PO!N$12,ROW(C135)-ROW(C$12),0))</f>
        <v>EXECUÇÃO DOS PILARES DE SUSTENTAÇÃO DA LAJE DE FORRO (4 Pilaretes na frente p/fixação das portas)</v>
      </c>
      <c r="D135" s="129">
        <f ca="1">IF(OFFSET(PO!O$12,ROW(D135)-ROW(D$12),0)=0,"",OFFSET(PO!O$12,ROW(D135)-ROW(D$12),0))</f>
      </c>
      <c r="E135" s="165">
        <f>IF($A135&lt;&gt;"Serviço",0,ROUND(SUMIF($F$9:$P$9,"&lt;&gt;",$F135:$P135),15-13*PO!$X$3))</f>
        <v>0</v>
      </c>
      <c r="F135" s="398"/>
      <c r="G135" s="398"/>
      <c r="H135" s="398"/>
      <c r="I135" s="398"/>
      <c r="J135" s="398"/>
      <c r="K135" s="398"/>
      <c r="L135" s="398"/>
      <c r="M135" s="398"/>
      <c r="N135" s="398"/>
      <c r="O135" s="398"/>
      <c r="U135" s="215"/>
    </row>
    <row r="136" spans="1:21" s="4" customFormat="1" ht="25.5">
      <c r="A136" s="128" t="str">
        <f ca="1">OFFSET(PO!J$12,ROW(A136)-ROW($A$12),0)</f>
        <v>Serviço</v>
      </c>
      <c r="B136" s="130" t="str">
        <f ca="1">IF($A136=0,"",OFFSET(PO!K$12,ROW(B136)-ROW(B$12),0))</f>
        <v>10.3.1.</v>
      </c>
      <c r="C136" s="127" t="str">
        <f ca="1">IF(OFFSET(PO!N$12,ROW(C136)-ROW(C$12),0)=0,"",OFFSET(PO!N$12,ROW(C136)-ROW(C$12),0))</f>
        <v>FABRICAÇÃO DE FÔRMA PARA PILARES E ESTRUTURAS SIMILARES, EM MADEIRA SERRADA, E=25 MM. AF_09/2020</v>
      </c>
      <c r="D136" s="129" t="str">
        <f ca="1">IF(OFFSET(PO!O$12,ROW(D136)-ROW(D$12),0)=0,"",OFFSET(PO!O$12,ROW(D136)-ROW(D$12),0))</f>
        <v>M2</v>
      </c>
      <c r="E136" s="165">
        <f>IF($A136&lt;&gt;"Serviço",0,ROUND(SUMIF($F$9:$P$9,"&lt;&gt;",$F136:$P136),15-13*PO!$X$3))</f>
        <v>3.78</v>
      </c>
      <c r="F136" s="398">
        <v>3.78</v>
      </c>
      <c r="G136" s="398"/>
      <c r="H136" s="398"/>
      <c r="I136" s="398"/>
      <c r="J136" s="398"/>
      <c r="K136" s="398"/>
      <c r="L136" s="398"/>
      <c r="M136" s="398"/>
      <c r="N136" s="398"/>
      <c r="O136" s="398"/>
      <c r="U136" s="215"/>
    </row>
    <row r="137" spans="1:21" s="4" customFormat="1" ht="12.75">
      <c r="A137" s="128" t="str">
        <f ca="1">OFFSET(PO!J$12,ROW(A137)-ROW($A$12),0)</f>
        <v>Serviço</v>
      </c>
      <c r="B137" s="130" t="str">
        <f ca="1">IF($A137=0,"",OFFSET(PO!K$12,ROW(B137)-ROW(B$12),0))</f>
        <v>10.3.2.</v>
      </c>
      <c r="C137" s="127" t="str">
        <f ca="1">IF(OFFSET(PO!N$12,ROW(C137)-ROW(C$12),0)=0,"",OFFSET(PO!N$12,ROW(C137)-ROW(C$12),0))</f>
        <v>EXECUÇÃO DE PILARES EM AÇO 10 mm</v>
      </c>
      <c r="D137" s="129" t="str">
        <f ca="1">IF(OFFSET(PO!O$12,ROW(D137)-ROW(D$12),0)=0,"",OFFSET(PO!O$12,ROW(D137)-ROW(D$12),0))</f>
        <v>KG</v>
      </c>
      <c r="E137" s="165">
        <f>IF($A137&lt;&gt;"Serviço",0,ROUND(SUMIF($F$9:$P$9,"&lt;&gt;",$F137:$P137),15-13*PO!$X$3))</f>
        <v>24.68</v>
      </c>
      <c r="F137" s="398">
        <v>24.68</v>
      </c>
      <c r="G137" s="398"/>
      <c r="H137" s="398"/>
      <c r="I137" s="398"/>
      <c r="J137" s="398"/>
      <c r="K137" s="398"/>
      <c r="L137" s="398"/>
      <c r="M137" s="398"/>
      <c r="N137" s="398"/>
      <c r="O137" s="398"/>
      <c r="U137" s="215"/>
    </row>
    <row r="138" spans="1:21" s="4" customFormat="1" ht="25.5">
      <c r="A138" s="128" t="str">
        <f ca="1">OFFSET(PO!J$12,ROW(A138)-ROW($A$12),0)</f>
        <v>Serviço</v>
      </c>
      <c r="B138" s="130" t="str">
        <f ca="1">IF($A138=0,"",OFFSET(PO!K$12,ROW(B138)-ROW(B$12),0))</f>
        <v>10.3.3.</v>
      </c>
      <c r="C138" s="127" t="str">
        <f ca="1">IF(OFFSET(PO!N$12,ROW(C138)-ROW(C$12),0)=0,"",OFFSET(PO!N$12,ROW(C138)-ROW(C$12),0))</f>
        <v>ARMAÇÃO DE BLOCO, VIGA BALDRAME E SAPATA UTILIZANDO AÇO CA-60 DE 5 MM - MONTAGEM. AF_06/2017</v>
      </c>
      <c r="D138" s="129" t="str">
        <f ca="1">IF(OFFSET(PO!O$12,ROW(D138)-ROW(D$12),0)=0,"",OFFSET(PO!O$12,ROW(D138)-ROW(D$12),0))</f>
        <v>KG</v>
      </c>
      <c r="E138" s="165">
        <f>IF($A138&lt;&gt;"Serviço",0,ROUND(SUMIF($F$9:$P$9,"&lt;&gt;",$F138:$P138),15-13*PO!$X$3))</f>
        <v>6.91</v>
      </c>
      <c r="F138" s="398">
        <v>6.91</v>
      </c>
      <c r="G138" s="398"/>
      <c r="H138" s="398"/>
      <c r="I138" s="398"/>
      <c r="J138" s="398"/>
      <c r="K138" s="398"/>
      <c r="L138" s="398"/>
      <c r="M138" s="398"/>
      <c r="N138" s="398"/>
      <c r="O138" s="398"/>
      <c r="U138" s="215"/>
    </row>
    <row r="139" spans="1:21" s="4" customFormat="1" ht="38.25">
      <c r="A139" s="128" t="str">
        <f ca="1">OFFSET(PO!J$12,ROW(A139)-ROW($A$12),0)</f>
        <v>Serviço</v>
      </c>
      <c r="B139" s="130" t="str">
        <f ca="1">IF($A139=0,"",OFFSET(PO!K$12,ROW(B139)-ROW(B$12),0))</f>
        <v>10.3.4.</v>
      </c>
      <c r="C139" s="127" t="str">
        <f ca="1">IF(OFFSET(PO!N$12,ROW(C139)-ROW(C$12),0)=0,"",OFFSET(PO!N$12,ROW(C139)-ROW(C$12),0))</f>
        <v>CONCRETO FCK = 20MPA, TRAÇO 1:2,7:3 (EM MASSA SECA DE CIMENTO/ AREIA MÉDIA/ BRITA 1) - PREPARO MECÂNICO COM BETONEIRA 400 L. AF_05/2021</v>
      </c>
      <c r="D139" s="129" t="str">
        <f ca="1">IF(OFFSET(PO!O$12,ROW(D139)-ROW(D$12),0)=0,"",OFFSET(PO!O$12,ROW(D139)-ROW(D$12),0))</f>
        <v>M3</v>
      </c>
      <c r="E139" s="165">
        <f>IF($A139&lt;&gt;"Serviço",0,ROUND(SUMIF($F$9:$P$9,"&lt;&gt;",$F139:$P139),15-13*PO!$X$3))</f>
        <v>0.23</v>
      </c>
      <c r="F139" s="398">
        <v>0.23</v>
      </c>
      <c r="G139" s="398"/>
      <c r="H139" s="398"/>
      <c r="I139" s="398"/>
      <c r="J139" s="398"/>
      <c r="K139" s="398"/>
      <c r="L139" s="398"/>
      <c r="M139" s="398"/>
      <c r="N139" s="398"/>
      <c r="O139" s="398"/>
      <c r="U139" s="215"/>
    </row>
    <row r="140" spans="1:21" s="4" customFormat="1" ht="12.75">
      <c r="A140" s="128" t="str">
        <f ca="1">OFFSET(PO!J$12,ROW(A140)-ROW($A$12),0)</f>
        <v>Nível 2</v>
      </c>
      <c r="B140" s="130" t="str">
        <f ca="1">IF($A140=0,"",OFFSET(PO!K$12,ROW(B140)-ROW(B$12),0))</f>
        <v>10.4.</v>
      </c>
      <c r="C140" s="127" t="str">
        <f ca="1">IF(OFFSET(PO!N$12,ROW(C140)-ROW(C$12),0)=0,"",OFFSET(PO!N$12,ROW(C140)-ROW(C$12),0))</f>
        <v>EXECUÇÃO DA ESTRUTURA - LAJE DE FORRO</v>
      </c>
      <c r="D140" s="129">
        <f ca="1">IF(OFFSET(PO!O$12,ROW(D140)-ROW(D$12),0)=0,"",OFFSET(PO!O$12,ROW(D140)-ROW(D$12),0))</f>
      </c>
      <c r="E140" s="165">
        <f>IF($A140&lt;&gt;"Serviço",0,ROUND(SUMIF($F$9:$P$9,"&lt;&gt;",$F140:$P140),15-13*PO!$X$3))</f>
        <v>0</v>
      </c>
      <c r="F140" s="398"/>
      <c r="G140" s="398"/>
      <c r="H140" s="398"/>
      <c r="I140" s="398"/>
      <c r="J140" s="398"/>
      <c r="K140" s="398"/>
      <c r="L140" s="398"/>
      <c r="M140" s="398"/>
      <c r="N140" s="398"/>
      <c r="O140" s="398"/>
      <c r="U140" s="215"/>
    </row>
    <row r="141" spans="1:21" s="4" customFormat="1" ht="38.25">
      <c r="A141" s="128" t="str">
        <f ca="1">OFFSET(PO!J$12,ROW(A141)-ROW($A$12),0)</f>
        <v>Serviço</v>
      </c>
      <c r="B141" s="130" t="str">
        <f ca="1">IF($A141=0,"",OFFSET(PO!K$12,ROW(B141)-ROW(B$12),0))</f>
        <v>10.4.1.</v>
      </c>
      <c r="C141" s="127" t="str">
        <f ca="1">IF(OFFSET(PO!N$12,ROW(C141)-ROW(C$12),0)=0,"",OFFSET(PO!N$12,ROW(C141)-ROW(C$12),0))</f>
        <v>CONCRETO FCK = 20MPA, TRAÇO 1:2,7:3 (EM MASSA SECA DE CIMENTO/ AREIA MÉDIA/ BRITA 1) - PREPARO MECÂNICO COM BETONEIRA 400 L. AF_05/2021</v>
      </c>
      <c r="D141" s="129" t="str">
        <f ca="1">IF(OFFSET(PO!O$12,ROW(D141)-ROW(D$12),0)=0,"",OFFSET(PO!O$12,ROW(D141)-ROW(D$12),0))</f>
        <v>M3</v>
      </c>
      <c r="E141" s="165">
        <f>IF($A141&lt;&gt;"Serviço",0,ROUND(SUMIF($F$9:$P$9,"&lt;&gt;",$F141:$P141),15-13*PO!$X$3))</f>
        <v>0.32</v>
      </c>
      <c r="F141" s="398">
        <v>0.32</v>
      </c>
      <c r="G141" s="398"/>
      <c r="H141" s="398"/>
      <c r="I141" s="398"/>
      <c r="J141" s="398"/>
      <c r="K141" s="398"/>
      <c r="L141" s="398"/>
      <c r="M141" s="398"/>
      <c r="N141" s="398"/>
      <c r="O141" s="398"/>
      <c r="U141" s="215"/>
    </row>
    <row r="142" spans="1:21" s="4" customFormat="1" ht="51">
      <c r="A142" s="128" t="str">
        <f ca="1">OFFSET(PO!J$12,ROW(A142)-ROW($A$12),0)</f>
        <v>Serviço</v>
      </c>
      <c r="B142" s="130" t="str">
        <f ca="1">IF($A142=0,"",OFFSET(PO!K$12,ROW(B142)-ROW(B$12),0))</f>
        <v>10.4.2.</v>
      </c>
      <c r="C142" s="127" t="str">
        <f ca="1">IF(OFFSET(PO!N$12,ROW(C142)-ROW(C$12),0)=0,"",OFFSET(PO!N$12,ROW(C142)-ROW(C$12),0))</f>
        <v>LAJE PRÉ-MOLDADA UNIDIRECIONAL, BIAPOIADA, PARA FORRO, ENCHIMENTO EM CERÂMICA, VIGOTA CONVENCIONAL, ALTURA TOTAL DA LAJE (ENCHIMENTO+CAPA) = (8+3). AF_11/2020_PA</v>
      </c>
      <c r="D142" s="129" t="str">
        <f ca="1">IF(OFFSET(PO!O$12,ROW(D142)-ROW(D$12),0)=0,"",OFFSET(PO!O$12,ROW(D142)-ROW(D$12),0))</f>
        <v>M2</v>
      </c>
      <c r="E142" s="165">
        <f>IF($A142&lt;&gt;"Serviço",0,ROUND(SUMIF($F$9:$P$9,"&lt;&gt;",$F142:$P142),15-13*PO!$X$3))</f>
        <v>6.81</v>
      </c>
      <c r="F142" s="398">
        <v>6.81</v>
      </c>
      <c r="G142" s="398"/>
      <c r="H142" s="398"/>
      <c r="I142" s="398"/>
      <c r="J142" s="398"/>
      <c r="K142" s="398"/>
      <c r="L142" s="398"/>
      <c r="M142" s="398"/>
      <c r="N142" s="398"/>
      <c r="O142" s="398"/>
      <c r="U142" s="215"/>
    </row>
    <row r="143" spans="1:21" s="4" customFormat="1" ht="12.75">
      <c r="A143" s="128" t="str">
        <f ca="1">OFFSET(PO!J$12,ROW(A143)-ROW($A$12),0)</f>
        <v>Nível 2</v>
      </c>
      <c r="B143" s="130" t="str">
        <f ca="1">IF($A143=0,"",OFFSET(PO!K$12,ROW(B143)-ROW(B$12),0))</f>
        <v>10.5.</v>
      </c>
      <c r="C143" s="127" t="str">
        <f ca="1">IF(OFFSET(PO!N$12,ROW(C143)-ROW(C$12),0)=0,"",OFFSET(PO!N$12,ROW(C143)-ROW(C$12),0))</f>
        <v>EXECUÇÃO DE ALVENARIA ATÉ A LAJE DE FORRO</v>
      </c>
      <c r="D143" s="129">
        <f ca="1">IF(OFFSET(PO!O$12,ROW(D143)-ROW(D$12),0)=0,"",OFFSET(PO!O$12,ROW(D143)-ROW(D$12),0))</f>
      </c>
      <c r="E143" s="165">
        <f>IF($A143&lt;&gt;"Serviço",0,ROUND(SUMIF($F$9:$P$9,"&lt;&gt;",$F143:$P143),15-13*PO!$X$3))</f>
        <v>0</v>
      </c>
      <c r="F143" s="398"/>
      <c r="G143" s="398"/>
      <c r="H143" s="398"/>
      <c r="I143" s="398"/>
      <c r="J143" s="398"/>
      <c r="K143" s="398"/>
      <c r="L143" s="398"/>
      <c r="M143" s="398"/>
      <c r="N143" s="398"/>
      <c r="O143" s="398"/>
      <c r="U143" s="215"/>
    </row>
    <row r="144" spans="1:21" s="4" customFormat="1" ht="51">
      <c r="A144" s="128" t="str">
        <f ca="1">OFFSET(PO!J$12,ROW(A144)-ROW($A$12),0)</f>
        <v>Serviço</v>
      </c>
      <c r="B144" s="130" t="str">
        <f ca="1">IF($A144=0,"",OFFSET(PO!K$12,ROW(B144)-ROW(B$12),0))</f>
        <v>10.5.1.</v>
      </c>
      <c r="C144" s="127" t="str">
        <f ca="1">IF(OFFSET(PO!N$12,ROW(C144)-ROW(C$12),0)=0,"",OFFSET(PO!N$12,ROW(C144)-ROW(C$12),0))</f>
        <v>ALVENARIA DE VEDAÇÃO DE BLOCOS CERÂMICOS FURADOS NA HORIZONTAL DE 11,5X19X19 CM (ESPESSURA 11,5 CM) E ARGAMASSA DE ASSENTAMENTO COM PREPARO EM BETONEIRA. AF_12/2021</v>
      </c>
      <c r="D144" s="129" t="str">
        <f ca="1">IF(OFFSET(PO!O$12,ROW(D144)-ROW(D$12),0)=0,"",OFFSET(PO!O$12,ROW(D144)-ROW(D$12),0))</f>
        <v>M2</v>
      </c>
      <c r="E144" s="165">
        <f>IF($A144&lt;&gt;"Serviço",0,ROUND(SUMIF($F$9:$P$9,"&lt;&gt;",$F144:$P144),15-13*PO!$X$3))</f>
        <v>7.73</v>
      </c>
      <c r="F144" s="398">
        <v>7.73</v>
      </c>
      <c r="G144" s="398"/>
      <c r="H144" s="398"/>
      <c r="I144" s="398"/>
      <c r="J144" s="398"/>
      <c r="K144" s="398"/>
      <c r="L144" s="398"/>
      <c r="M144" s="398"/>
      <c r="N144" s="398"/>
      <c r="O144" s="398"/>
      <c r="U144" s="215"/>
    </row>
    <row r="145" spans="1:21" s="4" customFormat="1" ht="12.75">
      <c r="A145" s="128" t="str">
        <f ca="1">OFFSET(PO!J$12,ROW(A145)-ROW($A$12),0)</f>
        <v>Nível 2</v>
      </c>
      <c r="B145" s="130" t="str">
        <f ca="1">IF($A145=0,"",OFFSET(PO!K$12,ROW(B145)-ROW(B$12),0))</f>
        <v>10.6.</v>
      </c>
      <c r="C145" s="127" t="str">
        <f ca="1">IF(OFFSET(PO!N$12,ROW(C145)-ROW(C$12),0)=0,"",OFFSET(PO!N$12,ROW(C145)-ROW(C$12),0))</f>
        <v>PISO     </v>
      </c>
      <c r="D145" s="129">
        <f ca="1">IF(OFFSET(PO!O$12,ROW(D145)-ROW(D$12),0)=0,"",OFFSET(PO!O$12,ROW(D145)-ROW(D$12),0))</f>
      </c>
      <c r="E145" s="165">
        <f>IF($A145&lt;&gt;"Serviço",0,ROUND(SUMIF($F$9:$P$9,"&lt;&gt;",$F145:$P145),15-13*PO!$X$3))</f>
        <v>0</v>
      </c>
      <c r="F145" s="398"/>
      <c r="G145" s="398"/>
      <c r="H145" s="398"/>
      <c r="I145" s="398"/>
      <c r="J145" s="398"/>
      <c r="K145" s="398"/>
      <c r="L145" s="398"/>
      <c r="M145" s="398"/>
      <c r="N145" s="398"/>
      <c r="O145" s="398"/>
      <c r="U145" s="215"/>
    </row>
    <row r="146" spans="1:21" s="4" customFormat="1" ht="76.5">
      <c r="A146" s="128" t="str">
        <f ca="1">OFFSET(PO!J$12,ROW(A146)-ROW($A$12),0)</f>
        <v>Serviço</v>
      </c>
      <c r="B146" s="130" t="str">
        <f ca="1">IF($A146=0,"",OFFSET(PO!K$12,ROW(B146)-ROW(B$12),0))</f>
        <v>10.6.1.</v>
      </c>
      <c r="C146" s="127" t="str">
        <f ca="1">IF(OFFSET(PO!N$12,ROW(C146)-ROW(C$12),0)=0,"",OFFSET(PO!N$12,ROW(C146)-ROW(C$12),0))</f>
        <v>(COMPOSIÇÃO REPRESENTATIVA) DO SERVIÇO DE CONTRAPISO EM ARGAMASSA TRAÇO 1:4 (CIM E AREIA), EM BETONEIRA 400 L, ESPESSURA 3 CM ÁREAS SECAS E 3 CM ÁREAS MOLHADAS, PARA EDIFICAÇÃO HABITACIONAL UNIFAMILIAR (CASA) E EDIFICAÇÃO PÚBLICA PADRÃO. AF_11/2014</v>
      </c>
      <c r="D146" s="129" t="str">
        <f ca="1">IF(OFFSET(PO!O$12,ROW(D146)-ROW(D$12),0)=0,"",OFFSET(PO!O$12,ROW(D146)-ROW(D$12),0))</f>
        <v>M2</v>
      </c>
      <c r="E146" s="165">
        <f>IF($A146&lt;&gt;"Serviço",0,ROUND(SUMIF($F$9:$P$9,"&lt;&gt;",$F146:$P146),15-13*PO!$X$3))</f>
        <v>4.44</v>
      </c>
      <c r="F146" s="398">
        <v>4.44</v>
      </c>
      <c r="G146" s="398"/>
      <c r="H146" s="398"/>
      <c r="I146" s="398"/>
      <c r="J146" s="398"/>
      <c r="K146" s="398"/>
      <c r="L146" s="398"/>
      <c r="M146" s="398"/>
      <c r="N146" s="398"/>
      <c r="O146" s="398"/>
      <c r="U146" s="215"/>
    </row>
    <row r="147" spans="1:21" s="4" customFormat="1" ht="63.75">
      <c r="A147" s="128" t="str">
        <f ca="1">OFFSET(PO!J$12,ROW(A147)-ROW($A$12),0)</f>
        <v>Serviço</v>
      </c>
      <c r="B147" s="130" t="str">
        <f ca="1">IF($A147=0,"",OFFSET(PO!K$12,ROW(B147)-ROW(B$12),0))</f>
        <v>10.6.2.</v>
      </c>
      <c r="C147" s="127" t="str">
        <f ca="1">IF(OFFSET(PO!N$12,ROW(C147)-ROW(C$12),0)=0,"",OFFSET(PO!N$12,ROW(C147)-ROW(C$12),0))</f>
        <v>(COMPOSIÇÃO REPRESENTATIVA) DO SERVIÇO DE REVESTIMENTO CERÂMICO PARA PISO COM PLACAS TIPO ESMALTADA EXTRA DE DIMENSÕES 35X35 CM, PARA EDIFICAÇÃO HABITACIONAL UNIFAMILIAR (CASA) E EDIFICAÇÃO PÚBLICA PADRÃO. AF_11/2014</v>
      </c>
      <c r="D147" s="129" t="str">
        <f ca="1">IF(OFFSET(PO!O$12,ROW(D147)-ROW(D$12),0)=0,"",OFFSET(PO!O$12,ROW(D147)-ROW(D$12),0))</f>
        <v>M2</v>
      </c>
      <c r="E147" s="165">
        <f>IF($A147&lt;&gt;"Serviço",0,ROUND(SUMIF($F$9:$P$9,"&lt;&gt;",$F147:$P147),15-13*PO!$X$3))</f>
        <v>4.44</v>
      </c>
      <c r="F147" s="398">
        <v>4.44</v>
      </c>
      <c r="G147" s="398"/>
      <c r="H147" s="398"/>
      <c r="I147" s="398"/>
      <c r="J147" s="398"/>
      <c r="K147" s="398"/>
      <c r="L147" s="398"/>
      <c r="M147" s="398"/>
      <c r="N147" s="398"/>
      <c r="O147" s="398"/>
      <c r="U147" s="215"/>
    </row>
    <row r="148" spans="1:21" s="4" customFormat="1" ht="12.75">
      <c r="A148" s="128" t="str">
        <f ca="1">OFFSET(PO!J$12,ROW(A148)-ROW($A$12),0)</f>
        <v>Nível 2</v>
      </c>
      <c r="B148" s="130" t="str">
        <f ca="1">IF($A148=0,"",OFFSET(PO!K$12,ROW(B148)-ROW(B$12),0))</f>
        <v>10.7.</v>
      </c>
      <c r="C148" s="127" t="str">
        <f ca="1">IF(OFFSET(PO!N$12,ROW(C148)-ROW(C$12),0)=0,"",OFFSET(PO!N$12,ROW(C148)-ROW(C$12),0))</f>
        <v>REBOCO INTERNO (Paredes e teto)</v>
      </c>
      <c r="D148" s="129">
        <f ca="1">IF(OFFSET(PO!O$12,ROW(D148)-ROW(D$12),0)=0,"",OFFSET(PO!O$12,ROW(D148)-ROW(D$12),0))</f>
      </c>
      <c r="E148" s="165">
        <f>IF($A148&lt;&gt;"Serviço",0,ROUND(SUMIF($F$9:$P$9,"&lt;&gt;",$F148:$P148),15-13*PO!$X$3))</f>
        <v>0</v>
      </c>
      <c r="F148" s="398"/>
      <c r="G148" s="398"/>
      <c r="H148" s="398"/>
      <c r="I148" s="398"/>
      <c r="J148" s="398"/>
      <c r="K148" s="398"/>
      <c r="L148" s="398"/>
      <c r="M148" s="398"/>
      <c r="N148" s="398"/>
      <c r="O148" s="398"/>
      <c r="U148" s="215"/>
    </row>
    <row r="149" spans="1:21" s="4" customFormat="1" ht="51">
      <c r="A149" s="128" t="str">
        <f ca="1">OFFSET(PO!J$12,ROW(A149)-ROW($A$12),0)</f>
        <v>Serviço</v>
      </c>
      <c r="B149" s="130" t="str">
        <f ca="1">IF($A149=0,"",OFFSET(PO!K$12,ROW(B149)-ROW(B$12),0))</f>
        <v>10.7.1.</v>
      </c>
      <c r="C149" s="127" t="str">
        <f ca="1">IF(OFFSET(PO!N$12,ROW(C149)-ROW(C$12),0)=0,"",OFFSET(PO!N$12,ROW(C149)-ROW(C$12),0))</f>
        <v>CHAPISCO APLICADO EM ALVENARIAS E ESTRUTURAS DE CONCRETO INTERNAS, COM COLHER DE PEDREIRO.  ARGAMASSA TRAÇO 1:3 COM PREPARO EM BETONEIRA 400L. AF_10/2022</v>
      </c>
      <c r="D149" s="129" t="str">
        <f ca="1">IF(OFFSET(PO!O$12,ROW(D149)-ROW(D$12),0)=0,"",OFFSET(PO!O$12,ROW(D149)-ROW(D$12),0))</f>
        <v>M2</v>
      </c>
      <c r="E149" s="165">
        <f>IF($A149&lt;&gt;"Serviço",0,ROUND(SUMIF($F$9:$P$9,"&lt;&gt;",$F149:$P149),15-13*PO!$X$3))</f>
        <v>16.03</v>
      </c>
      <c r="F149" s="398">
        <v>16.03</v>
      </c>
      <c r="G149" s="398"/>
      <c r="H149" s="398"/>
      <c r="I149" s="398"/>
      <c r="J149" s="398"/>
      <c r="K149" s="398"/>
      <c r="L149" s="398"/>
      <c r="M149" s="398"/>
      <c r="N149" s="398"/>
      <c r="O149" s="398"/>
      <c r="U149" s="215"/>
    </row>
    <row r="150" spans="1:21" s="4" customFormat="1" ht="63.75">
      <c r="A150" s="128" t="str">
        <f ca="1">OFFSET(PO!J$12,ROW(A150)-ROW($A$12),0)</f>
        <v>Serviço</v>
      </c>
      <c r="B150" s="130" t="str">
        <f ca="1">IF($A150=0,"",OFFSET(PO!K$12,ROW(B150)-ROW(B$12),0))</f>
        <v>10.7.2.</v>
      </c>
      <c r="C150" s="127" t="str">
        <f ca="1">IF(OFFSET(PO!N$12,ROW(C150)-ROW(C$12),0)=0,"",OFFSET(PO!N$12,ROW(C150)-ROW(C$12),0))</f>
        <v>EMBOÇO, PARA RECEBIMENTO DE CERÂMICA, EM ARGAMASSA TRAÇO 1:2:8, PREPARO MANUAL, APLICADO MANUALMENTE EM FACES INTERNAS DE PAREDES, PARA AMBIENTE COM ÁREA MENOR QUE 5M2, ESPESSURA DE 20MM, COM EXECUÇÃO DE TALISCAS. AF_06/2014</v>
      </c>
      <c r="D150" s="129" t="str">
        <f ca="1">IF(OFFSET(PO!O$12,ROW(D150)-ROW(D$12),0)=0,"",OFFSET(PO!O$12,ROW(D150)-ROW(D$12),0))</f>
        <v>M2</v>
      </c>
      <c r="E150" s="165">
        <f>IF($A150&lt;&gt;"Serviço",0,ROUND(SUMIF($F$9:$P$9,"&lt;&gt;",$F150:$P150),15-13*PO!$X$3))</f>
        <v>16.03</v>
      </c>
      <c r="F150" s="398">
        <v>16.03</v>
      </c>
      <c r="G150" s="398"/>
      <c r="H150" s="398"/>
      <c r="I150" s="398"/>
      <c r="J150" s="398"/>
      <c r="K150" s="398"/>
      <c r="L150" s="398"/>
      <c r="M150" s="398"/>
      <c r="N150" s="398"/>
      <c r="O150" s="398"/>
      <c r="U150" s="215"/>
    </row>
    <row r="151" spans="1:21" s="4" customFormat="1" ht="38.25">
      <c r="A151" s="128" t="str">
        <f ca="1">OFFSET(PO!J$12,ROW(A151)-ROW($A$12),0)</f>
        <v>Serviço</v>
      </c>
      <c r="B151" s="130" t="str">
        <f ca="1">IF($A151=0,"",OFFSET(PO!K$12,ROW(B151)-ROW(B$12),0))</f>
        <v>10.7.3.</v>
      </c>
      <c r="C151" s="127" t="str">
        <f ca="1">IF(OFFSET(PO!N$12,ROW(C151)-ROW(C$12),0)=0,"",OFFSET(PO!N$12,ROW(C151)-ROW(C$12),0))</f>
        <v>REVESTIMENTO CERÂMICO PARA PAREDES INTERNAS COM PLACAS TIPO ESMALTADA EXTRA  DE DIMENSÕES 33X45 CM APLICADAS NA ALTURA INTEIRA DAS PAREDES. AF_02/2023_PE</v>
      </c>
      <c r="D151" s="129" t="str">
        <f ca="1">IF(OFFSET(PO!O$12,ROW(D151)-ROW(D$12),0)=0,"",OFFSET(PO!O$12,ROW(D151)-ROW(D$12),0))</f>
        <v>M2</v>
      </c>
      <c r="E151" s="165">
        <f>IF($A151&lt;&gt;"Serviço",0,ROUND(SUMIF($F$9:$P$9,"&lt;&gt;",$F151:$P151),15-13*PO!$X$3))</f>
        <v>21.1</v>
      </c>
      <c r="F151" s="398">
        <v>21.1</v>
      </c>
      <c r="G151" s="398"/>
      <c r="H151" s="398"/>
      <c r="I151" s="398"/>
      <c r="J151" s="398"/>
      <c r="K151" s="398"/>
      <c r="L151" s="398"/>
      <c r="M151" s="398"/>
      <c r="N151" s="398"/>
      <c r="O151" s="398"/>
      <c r="U151" s="215"/>
    </row>
    <row r="152" spans="1:21" s="4" customFormat="1" ht="12.75">
      <c r="A152" s="128" t="str">
        <f ca="1">OFFSET(PO!J$12,ROW(A152)-ROW($A$12),0)</f>
        <v>Nível 2</v>
      </c>
      <c r="B152" s="130" t="str">
        <f ca="1">IF($A152=0,"",OFFSET(PO!K$12,ROW(B152)-ROW(B$12),0))</f>
        <v>10.8.</v>
      </c>
      <c r="C152" s="127" t="str">
        <f ca="1">IF(OFFSET(PO!N$12,ROW(C152)-ROW(C$12),0)=0,"",OFFSET(PO!N$12,ROW(C152)-ROW(C$12),0))</f>
        <v>REBOCO EXTERNO</v>
      </c>
      <c r="D152" s="129">
        <f ca="1">IF(OFFSET(PO!O$12,ROW(D152)-ROW(D$12),0)=0,"",OFFSET(PO!O$12,ROW(D152)-ROW(D$12),0))</f>
      </c>
      <c r="E152" s="165">
        <f>IF($A152&lt;&gt;"Serviço",0,ROUND(SUMIF($F$9:$P$9,"&lt;&gt;",$F152:$P152),15-13*PO!$X$3))</f>
        <v>0</v>
      </c>
      <c r="F152" s="398"/>
      <c r="G152" s="398"/>
      <c r="H152" s="398"/>
      <c r="I152" s="398"/>
      <c r="J152" s="398"/>
      <c r="K152" s="398"/>
      <c r="L152" s="398"/>
      <c r="M152" s="398"/>
      <c r="N152" s="398"/>
      <c r="O152" s="398"/>
      <c r="U152" s="215"/>
    </row>
    <row r="153" spans="1:21" s="4" customFormat="1" ht="51">
      <c r="A153" s="128" t="str">
        <f ca="1">OFFSET(PO!J$12,ROW(A153)-ROW($A$12),0)</f>
        <v>Serviço</v>
      </c>
      <c r="B153" s="130" t="str">
        <f ca="1">IF($A153=0,"",OFFSET(PO!K$12,ROW(B153)-ROW(B$12),0))</f>
        <v>10.8.1.</v>
      </c>
      <c r="C153" s="127" t="str">
        <f ca="1">IF(OFFSET(PO!N$12,ROW(C153)-ROW(C$12),0)=0,"",OFFSET(PO!N$12,ROW(C153)-ROW(C$12),0))</f>
        <v>CHAPISCO APLICADO EM ALVENARIA (COM PRESENÇA DE VÃOS) E ESTRUTURAS DE CONCRETO DE FACHADA, COM COLHER DE PEDREIRO.  ARGAMASSA TRAÇO 1:3 COM PREPARO MANUAL. AF_10/2022</v>
      </c>
      <c r="D153" s="129" t="str">
        <f ca="1">IF(OFFSET(PO!O$12,ROW(D153)-ROW(D$12),0)=0,"",OFFSET(PO!O$12,ROW(D153)-ROW(D$12),0))</f>
        <v>M2</v>
      </c>
      <c r="E153" s="165">
        <f>IF($A153&lt;&gt;"Serviço",0,ROUND(SUMIF($F$9:$P$9,"&lt;&gt;",$F153:$P153),15-13*PO!$X$3))</f>
        <v>13.54</v>
      </c>
      <c r="F153" s="398">
        <v>13.54</v>
      </c>
      <c r="G153" s="398"/>
      <c r="H153" s="398"/>
      <c r="I153" s="398"/>
      <c r="J153" s="398"/>
      <c r="K153" s="398"/>
      <c r="L153" s="398"/>
      <c r="M153" s="398"/>
      <c r="N153" s="398"/>
      <c r="O153" s="398"/>
      <c r="U153" s="215"/>
    </row>
    <row r="154" spans="1:21" s="4" customFormat="1" ht="51">
      <c r="A154" s="128" t="str">
        <f ca="1">OFFSET(PO!J$12,ROW(A154)-ROW($A$12),0)</f>
        <v>Serviço</v>
      </c>
      <c r="B154" s="130" t="str">
        <f ca="1">IF($A154=0,"",OFFSET(PO!K$12,ROW(B154)-ROW(B$12),0))</f>
        <v>10.8.2.</v>
      </c>
      <c r="C154" s="127" t="str">
        <f ca="1">IF(OFFSET(PO!N$12,ROW(C154)-ROW(C$12),0)=0,"",OFFSET(PO!N$12,ROW(C154)-ROW(C$12),0))</f>
        <v>EMBOÇO OU MASSA ÚNICA EM ARGAMASSA TRAÇO 1:2:8, PREPARO MECÂNICO COM BETONEIRA 400 L, APLICADA MANUALMENTE EM PANOS DE FACHADA COM PRESENÇA DE VÃOS, ESPESSURA DE 25 MM. AF_08/2022</v>
      </c>
      <c r="D154" s="129" t="str">
        <f ca="1">IF(OFFSET(PO!O$12,ROW(D154)-ROW(D$12),0)=0,"",OFFSET(PO!O$12,ROW(D154)-ROW(D$12),0))</f>
        <v>M2</v>
      </c>
      <c r="E154" s="165">
        <f>IF($A154&lt;&gt;"Serviço",0,ROUND(SUMIF($F$9:$P$9,"&lt;&gt;",$F154:$P154),15-13*PO!$X$3))</f>
        <v>13.54</v>
      </c>
      <c r="F154" s="398">
        <v>13.54</v>
      </c>
      <c r="G154" s="398"/>
      <c r="H154" s="398"/>
      <c r="I154" s="398"/>
      <c r="J154" s="398"/>
      <c r="K154" s="398"/>
      <c r="L154" s="398"/>
      <c r="M154" s="398"/>
      <c r="N154" s="398"/>
      <c r="O154" s="398"/>
      <c r="U154" s="215"/>
    </row>
    <row r="155" spans="1:21" s="4" customFormat="1" ht="12.75">
      <c r="A155" s="128" t="str">
        <f ca="1">OFFSET(PO!J$12,ROW(A155)-ROW($A$12),0)</f>
        <v>Nível 2</v>
      </c>
      <c r="B155" s="130" t="str">
        <f ca="1">IF($A155=0,"",OFFSET(PO!K$12,ROW(B155)-ROW(B$12),0))</f>
        <v>10.9.</v>
      </c>
      <c r="C155" s="127" t="str">
        <f ca="1">IF(OFFSET(PO!N$12,ROW(C155)-ROW(C$12),0)=0,"",OFFSET(PO!N$12,ROW(C155)-ROW(C$12),0))</f>
        <v>PINTURA EXTERNA</v>
      </c>
      <c r="D155" s="129">
        <f ca="1">IF(OFFSET(PO!O$12,ROW(D155)-ROW(D$12),0)=0,"",OFFSET(PO!O$12,ROW(D155)-ROW(D$12),0))</f>
      </c>
      <c r="E155" s="165">
        <f>IF($A155&lt;&gt;"Serviço",0,ROUND(SUMIF($F$9:$P$9,"&lt;&gt;",$F155:$P155),15-13*PO!$X$3))</f>
        <v>0</v>
      </c>
      <c r="F155" s="398"/>
      <c r="G155" s="398"/>
      <c r="H155" s="398"/>
      <c r="I155" s="398"/>
      <c r="J155" s="398"/>
      <c r="K155" s="398"/>
      <c r="L155" s="398"/>
      <c r="M155" s="398"/>
      <c r="N155" s="398"/>
      <c r="O155" s="398"/>
      <c r="U155" s="215"/>
    </row>
    <row r="156" spans="1:21" s="4" customFormat="1" ht="25.5">
      <c r="A156" s="128" t="str">
        <f ca="1">OFFSET(PO!J$12,ROW(A156)-ROW($A$12),0)</f>
        <v>Serviço</v>
      </c>
      <c r="B156" s="130" t="str">
        <f ca="1">IF($A156=0,"",OFFSET(PO!K$12,ROW(B156)-ROW(B$12),0))</f>
        <v>10.9.1.</v>
      </c>
      <c r="C156" s="127" t="str">
        <f ca="1">IF(OFFSET(PO!N$12,ROW(C156)-ROW(C$12),0)=0,"",OFFSET(PO!N$12,ROW(C156)-ROW(C$12),0))</f>
        <v>FUNDO SELADOR ACRÍLICO, APLICAÇÃO MANUAL EM PAREDE, UMA DEMÃO. AF_04/2023</v>
      </c>
      <c r="D156" s="129" t="str">
        <f ca="1">IF(OFFSET(PO!O$12,ROW(D156)-ROW(D$12),0)=0,"",OFFSET(PO!O$12,ROW(D156)-ROW(D$12),0))</f>
        <v>M2</v>
      </c>
      <c r="E156" s="165">
        <f>IF($A156&lt;&gt;"Serviço",0,ROUND(SUMIF($F$9:$P$9,"&lt;&gt;",$F156:$P156),15-13*PO!$X$3))</f>
        <v>13.54</v>
      </c>
      <c r="F156" s="398">
        <v>13.54</v>
      </c>
      <c r="G156" s="398"/>
      <c r="H156" s="398"/>
      <c r="I156" s="398"/>
      <c r="J156" s="398"/>
      <c r="K156" s="398"/>
      <c r="L156" s="398"/>
      <c r="M156" s="398"/>
      <c r="N156" s="398"/>
      <c r="O156" s="398"/>
      <c r="U156" s="215"/>
    </row>
    <row r="157" spans="1:21" s="4" customFormat="1" ht="38.25">
      <c r="A157" s="128" t="str">
        <f ca="1">OFFSET(PO!J$12,ROW(A157)-ROW($A$12),0)</f>
        <v>Serviço</v>
      </c>
      <c r="B157" s="130" t="str">
        <f ca="1">IF($A157=0,"",OFFSET(PO!K$12,ROW(B157)-ROW(B$12),0))</f>
        <v>10.9.2.</v>
      </c>
      <c r="C157" s="127" t="str">
        <f ca="1">IF(OFFSET(PO!N$12,ROW(C157)-ROW(C$12),0)=0,"",OFFSET(PO!N$12,ROW(C157)-ROW(C$12),0))</f>
        <v>APLICAÇÃO MANUAL DE PINTURA COM TINTA TEXTURIZADA ACRÍLICA EM PAREDES EXTERNAS DE CASAS, DUAS CORES. AF_06/2014</v>
      </c>
      <c r="D157" s="129" t="str">
        <f ca="1">IF(OFFSET(PO!O$12,ROW(D157)-ROW(D$12),0)=0,"",OFFSET(PO!O$12,ROW(D157)-ROW(D$12),0))</f>
        <v>M2</v>
      </c>
      <c r="E157" s="165">
        <f>IF($A157&lt;&gt;"Serviço",0,ROUND(SUMIF($F$9:$P$9,"&lt;&gt;",$F157:$P157),15-13*PO!$X$3))</f>
        <v>13.54</v>
      </c>
      <c r="F157" s="398">
        <v>13.54</v>
      </c>
      <c r="G157" s="398"/>
      <c r="H157" s="398"/>
      <c r="I157" s="398"/>
      <c r="J157" s="398"/>
      <c r="K157" s="398"/>
      <c r="L157" s="398"/>
      <c r="M157" s="398"/>
      <c r="N157" s="398"/>
      <c r="O157" s="398"/>
      <c r="U157" s="215"/>
    </row>
    <row r="158" spans="1:21" s="4" customFormat="1" ht="12.75">
      <c r="A158" s="128" t="str">
        <f ca="1">OFFSET(PO!J$12,ROW(A158)-ROW($A$12),0)</f>
        <v>Nível 2</v>
      </c>
      <c r="B158" s="130" t="str">
        <f ca="1">IF($A158=0,"",OFFSET(PO!K$12,ROW(B158)-ROW(B$12),0))</f>
        <v>10.10.</v>
      </c>
      <c r="C158" s="127" t="str">
        <f ca="1">IF(OFFSET(PO!N$12,ROW(C158)-ROW(C$12),0)=0,"",OFFSET(PO!N$12,ROW(C158)-ROW(C$12),0))</f>
        <v>PINTURA INTERNA-TETO</v>
      </c>
      <c r="D158" s="129">
        <f ca="1">IF(OFFSET(PO!O$12,ROW(D158)-ROW(D$12),0)=0,"",OFFSET(PO!O$12,ROW(D158)-ROW(D$12),0))</f>
      </c>
      <c r="E158" s="165">
        <f>IF($A158&lt;&gt;"Serviço",0,ROUND(SUMIF($F$9:$P$9,"&lt;&gt;",$F158:$P158),15-13*PO!$X$3))</f>
        <v>0</v>
      </c>
      <c r="F158" s="398"/>
      <c r="G158" s="398"/>
      <c r="H158" s="398"/>
      <c r="I158" s="398"/>
      <c r="J158" s="398"/>
      <c r="K158" s="398"/>
      <c r="L158" s="398"/>
      <c r="M158" s="398"/>
      <c r="N158" s="398"/>
      <c r="O158" s="398"/>
      <c r="U158" s="215"/>
    </row>
    <row r="159" spans="1:21" s="4" customFormat="1" ht="25.5">
      <c r="A159" s="128" t="str">
        <f ca="1">OFFSET(PO!J$12,ROW(A159)-ROW($A$12),0)</f>
        <v>Serviço</v>
      </c>
      <c r="B159" s="130" t="str">
        <f ca="1">IF($A159=0,"",OFFSET(PO!K$12,ROW(B159)-ROW(B$12),0))</f>
        <v>10.10.1.</v>
      </c>
      <c r="C159" s="127" t="str">
        <f ca="1">IF(OFFSET(PO!N$12,ROW(C159)-ROW(C$12),0)=0,"",OFFSET(PO!N$12,ROW(C159)-ROW(C$12),0))</f>
        <v>EMASSAMENTO COM MASSA LÁTEX, APLICAÇÃO EM PAREDE, DUAS DEMÃOS, LIXAMENTO MANUAL. AF_04/2023</v>
      </c>
      <c r="D159" s="129" t="str">
        <f ca="1">IF(OFFSET(PO!O$12,ROW(D159)-ROW(D$12),0)=0,"",OFFSET(PO!O$12,ROW(D159)-ROW(D$12),0))</f>
        <v>M2</v>
      </c>
      <c r="E159" s="165">
        <f>IF($A159&lt;&gt;"Serviço",0,ROUND(SUMIF($F$9:$P$9,"&lt;&gt;",$F159:$P159),15-13*PO!$X$3))</f>
        <v>4.44</v>
      </c>
      <c r="F159" s="398">
        <v>4.44</v>
      </c>
      <c r="G159" s="398"/>
      <c r="H159" s="398"/>
      <c r="I159" s="398"/>
      <c r="J159" s="398"/>
      <c r="K159" s="398"/>
      <c r="L159" s="398"/>
      <c r="M159" s="398"/>
      <c r="N159" s="398"/>
      <c r="O159" s="398"/>
      <c r="U159" s="215"/>
    </row>
    <row r="160" spans="1:21" s="4" customFormat="1" ht="25.5">
      <c r="A160" s="128" t="str">
        <f ca="1">OFFSET(PO!J$12,ROW(A160)-ROW($A$12),0)</f>
        <v>Serviço</v>
      </c>
      <c r="B160" s="130" t="str">
        <f ca="1">IF($A160=0,"",OFFSET(PO!K$12,ROW(B160)-ROW(B$12),0))</f>
        <v>10.10.2.</v>
      </c>
      <c r="C160" s="127" t="str">
        <f ca="1">IF(OFFSET(PO!N$12,ROW(C160)-ROW(C$12),0)=0,"",OFFSET(PO!N$12,ROW(C160)-ROW(C$12),0))</f>
        <v>PINTURA LÁTEX ACRÍLICA PREMIUM, APLICAÇÃO MANUAL EM TETO, DUAS DEMÃOS. AF_04/2023</v>
      </c>
      <c r="D160" s="129" t="str">
        <f ca="1">IF(OFFSET(PO!O$12,ROW(D160)-ROW(D$12),0)=0,"",OFFSET(PO!O$12,ROW(D160)-ROW(D$12),0))</f>
        <v>M2</v>
      </c>
      <c r="E160" s="165">
        <f>IF($A160&lt;&gt;"Serviço",0,ROUND(SUMIF($F$9:$P$9,"&lt;&gt;",$F160:$P160),15-13*PO!$X$3))</f>
        <v>4.44</v>
      </c>
      <c r="F160" s="398">
        <v>4.44</v>
      </c>
      <c r="G160" s="398"/>
      <c r="H160" s="398"/>
      <c r="I160" s="398"/>
      <c r="J160" s="398"/>
      <c r="K160" s="398"/>
      <c r="L160" s="398"/>
      <c r="M160" s="398"/>
      <c r="N160" s="398"/>
      <c r="O160" s="398"/>
      <c r="U160" s="215"/>
    </row>
    <row r="161" spans="1:21" s="4" customFormat="1" ht="12.75">
      <c r="A161" s="128" t="str">
        <f ca="1">OFFSET(PO!J$12,ROW(A161)-ROW($A$12),0)</f>
        <v>Nível 2</v>
      </c>
      <c r="B161" s="130" t="str">
        <f ca="1">IF($A161=0,"",OFFSET(PO!K$12,ROW(B161)-ROW(B$12),0))</f>
        <v>10.11.</v>
      </c>
      <c r="C161" s="127" t="str">
        <f ca="1">IF(OFFSET(PO!N$12,ROW(C161)-ROW(C$12),0)=0,"",OFFSET(PO!N$12,ROW(C161)-ROW(C$12),0))</f>
        <v>ESQUADRIAS DE ALUMÍNIO</v>
      </c>
      <c r="D161" s="129">
        <f ca="1">IF(OFFSET(PO!O$12,ROW(D161)-ROW(D$12),0)=0,"",OFFSET(PO!O$12,ROW(D161)-ROW(D$12),0))</f>
      </c>
      <c r="E161" s="165">
        <f>IF($A161&lt;&gt;"Serviço",0,ROUND(SUMIF($F$9:$P$9,"&lt;&gt;",$F161:$P161),15-13*PO!$X$3))</f>
        <v>0</v>
      </c>
      <c r="F161" s="398"/>
      <c r="G161" s="398"/>
      <c r="H161" s="398"/>
      <c r="I161" s="398"/>
      <c r="J161" s="398"/>
      <c r="K161" s="398"/>
      <c r="L161" s="398"/>
      <c r="M161" s="398"/>
      <c r="N161" s="398"/>
      <c r="O161" s="398"/>
      <c r="U161" s="215"/>
    </row>
    <row r="162" spans="1:21" s="4" customFormat="1" ht="38.25">
      <c r="A162" s="128" t="str">
        <f ca="1">OFFSET(PO!J$12,ROW(A162)-ROW($A$12),0)</f>
        <v>Serviço</v>
      </c>
      <c r="B162" s="130" t="str">
        <f ca="1">IF($A162=0,"",OFFSET(PO!K$12,ROW(B162)-ROW(B$12),0))</f>
        <v>10.11.1.</v>
      </c>
      <c r="C162" s="127" t="str">
        <f ca="1">IF(OFFSET(PO!N$12,ROW(C162)-ROW(C$12),0)=0,"",OFFSET(PO!N$12,ROW(C162)-ROW(C$12),0))</f>
        <v>PORTA EM ALUMÍNIO DE ABRIR TIPO VENEZIANA COM GUARNIÇÃO, FIXAÇÃO COM PARAFUSOS - FORNECIMENTO E INSTALAÇÃO. AF_12/2019</v>
      </c>
      <c r="D162" s="129" t="str">
        <f ca="1">IF(OFFSET(PO!O$12,ROW(D162)-ROW(D$12),0)=0,"",OFFSET(PO!O$12,ROW(D162)-ROW(D$12),0))</f>
        <v>M2</v>
      </c>
      <c r="E162" s="165">
        <f>IF($A162&lt;&gt;"Serviço",0,ROUND(SUMIF($F$9:$P$9,"&lt;&gt;",$F162:$P162),15-13*PO!$X$3))</f>
        <v>8.19</v>
      </c>
      <c r="F162" s="398">
        <f>1.3*2.1*3</f>
        <v>8.190000000000001</v>
      </c>
      <c r="G162" s="398"/>
      <c r="H162" s="398"/>
      <c r="I162" s="398"/>
      <c r="J162" s="398"/>
      <c r="K162" s="398"/>
      <c r="L162" s="398"/>
      <c r="M162" s="398"/>
      <c r="N162" s="398"/>
      <c r="O162" s="398"/>
      <c r="U162" s="215"/>
    </row>
    <row r="163" spans="1:21" s="4" customFormat="1" ht="12.75">
      <c r="A163" s="128" t="str">
        <f ca="1">OFFSET(PO!J$12,ROW(A163)-ROW($A$12),0)</f>
        <v>Meta</v>
      </c>
      <c r="B163" s="130" t="str">
        <f ca="1">IF($A163=0,"",OFFSET(PO!K$12,ROW(B163)-ROW(B$12),0))</f>
        <v>11.</v>
      </c>
      <c r="C163" s="127" t="str">
        <f ca="1">IF(OFFSET(PO!N$12,ROW(C163)-ROW(C$12),0)=0,"",OFFSET(PO!N$12,ROW(C163)-ROW(C$12),0))</f>
        <v>LIMPEZA FINAL DE OBRA</v>
      </c>
      <c r="D163" s="129">
        <f ca="1">IF(OFFSET(PO!O$12,ROW(D163)-ROW(D$12),0)=0,"",OFFSET(PO!O$12,ROW(D163)-ROW(D$12),0))</f>
      </c>
      <c r="E163" s="165">
        <f>IF($A163&lt;&gt;"Serviço",0,ROUND(SUMIF($F$9:$P$9,"&lt;&gt;",$F163:$P163),15-13*PO!$X$3))</f>
        <v>0</v>
      </c>
      <c r="F163" s="398"/>
      <c r="G163" s="398"/>
      <c r="H163" s="398"/>
      <c r="I163" s="398"/>
      <c r="J163" s="398"/>
      <c r="K163" s="398"/>
      <c r="L163" s="398"/>
      <c r="M163" s="398"/>
      <c r="N163" s="398"/>
      <c r="O163" s="398"/>
      <c r="U163" s="215"/>
    </row>
    <row r="164" spans="1:21" s="4" customFormat="1" ht="25.5">
      <c r="A164" s="128" t="str">
        <f ca="1">OFFSET(PO!J$12,ROW(A164)-ROW($A$12),0)</f>
        <v>Serviço</v>
      </c>
      <c r="B164" s="130" t="str">
        <f ca="1">IF($A164=0,"",OFFSET(PO!K$12,ROW(B164)-ROW(B$12),0))</f>
        <v>11.0.1.</v>
      </c>
      <c r="C164" s="127" t="str">
        <f ca="1">IF(OFFSET(PO!N$12,ROW(C164)-ROW(C$12),0)=0,"",OFFSET(PO!N$12,ROW(C164)-ROW(C$12),0))</f>
        <v>LIMPEZA DE REVESTIMENTO CERÂMICO EM PAREDE COM PANO ÚMIDO AF_04/2019</v>
      </c>
      <c r="D164" s="129" t="str">
        <f ca="1">IF(OFFSET(PO!O$12,ROW(D164)-ROW(D$12),0)=0,"",OFFSET(PO!O$12,ROW(D164)-ROW(D$12),0))</f>
        <v>M2</v>
      </c>
      <c r="E164" s="165">
        <f>IF($A164&lt;&gt;"Serviço",0,ROUND(SUMIF($F$9:$P$9,"&lt;&gt;",$F164:$P164),15-13*PO!$X$3))</f>
        <v>35.16</v>
      </c>
      <c r="F164" s="398">
        <v>35.16</v>
      </c>
      <c r="G164" s="398"/>
      <c r="H164" s="398"/>
      <c r="I164" s="398"/>
      <c r="J164" s="398"/>
      <c r="K164" s="398"/>
      <c r="L164" s="398"/>
      <c r="M164" s="398"/>
      <c r="N164" s="398"/>
      <c r="O164" s="398"/>
      <c r="U164" s="215"/>
    </row>
    <row r="165" spans="1:21" s="4" customFormat="1" ht="25.5">
      <c r="A165" s="128" t="str">
        <f ca="1">OFFSET(PO!J$12,ROW(A165)-ROW($A$12),0)</f>
        <v>Serviço</v>
      </c>
      <c r="B165" s="130" t="str">
        <f ca="1">IF($A165=0,"",OFFSET(PO!K$12,ROW(B165)-ROW(B$12),0))</f>
        <v>11.0.2.</v>
      </c>
      <c r="C165" s="127" t="str">
        <f ca="1">IF(OFFSET(PO!N$12,ROW(C165)-ROW(C$12),0)=0,"",OFFSET(PO!N$12,ROW(C165)-ROW(C$12),0))</f>
        <v>LIMPEZA DE REVESTIMENTO CERÂMICO EM PAREDE UTILIZANDO ÁCIDO MURIÁTICO. AF_04/2019</v>
      </c>
      <c r="D165" s="129" t="str">
        <f ca="1">IF(OFFSET(PO!O$12,ROW(D165)-ROW(D$12),0)=0,"",OFFSET(PO!O$12,ROW(D165)-ROW(D$12),0))</f>
        <v>M2</v>
      </c>
      <c r="E165" s="165">
        <f>IF($A165&lt;&gt;"Serviço",0,ROUND(SUMIF($F$9:$P$9,"&lt;&gt;",$F165:$P165),15-13*PO!$X$3))</f>
        <v>55.2</v>
      </c>
      <c r="F165" s="398">
        <v>55.2</v>
      </c>
      <c r="G165" s="398"/>
      <c r="H165" s="398"/>
      <c r="I165" s="398"/>
      <c r="J165" s="398"/>
      <c r="K165" s="398"/>
      <c r="L165" s="398"/>
      <c r="M165" s="398"/>
      <c r="N165" s="398"/>
      <c r="O165" s="398"/>
      <c r="U165" s="215"/>
    </row>
    <row r="166" spans="1:21" s="4" customFormat="1" ht="38.25">
      <c r="A166" s="128" t="str">
        <f ca="1">OFFSET(PO!J$12,ROW(A166)-ROW($A$12),0)</f>
        <v>Serviço</v>
      </c>
      <c r="B166" s="130" t="str">
        <f ca="1">IF($A166=0,"",OFFSET(PO!K$12,ROW(B166)-ROW(B$12),0))</f>
        <v>11.0.3.</v>
      </c>
      <c r="C166" s="127" t="str">
        <f ca="1">IF(OFFSET(PO!N$12,ROW(C166)-ROW(C$12),0)=0,"",OFFSET(PO!N$12,ROW(C166)-ROW(C$12),0))</f>
        <v>LIMPEZA DE REVESTIMENTO CERÂMICO EM PAREDE UTILIZANDO DETERGENTE NEUTRO E ESCOVAÇÃO MANUAL. AF_04/2019</v>
      </c>
      <c r="D166" s="129" t="str">
        <f ca="1">IF(OFFSET(PO!O$12,ROW(D166)-ROW(D$12),0)=0,"",OFFSET(PO!O$12,ROW(D166)-ROW(D$12),0))</f>
        <v>M2</v>
      </c>
      <c r="E166" s="165">
        <f>IF($A166&lt;&gt;"Serviço",0,ROUND(SUMIF($F$9:$P$9,"&lt;&gt;",$F166:$P166),15-13*PO!$X$3))</f>
        <v>916.38</v>
      </c>
      <c r="F166" s="398">
        <v>916.38</v>
      </c>
      <c r="G166" s="398"/>
      <c r="H166" s="398"/>
      <c r="I166" s="398"/>
      <c r="J166" s="398"/>
      <c r="K166" s="398"/>
      <c r="L166" s="398"/>
      <c r="M166" s="398"/>
      <c r="N166" s="398"/>
      <c r="O166" s="398"/>
      <c r="U166" s="215"/>
    </row>
    <row r="167" spans="1:21" s="4" customFormat="1" ht="12.75">
      <c r="A167" s="83"/>
      <c r="B167" s="83"/>
      <c r="C167" s="83"/>
      <c r="D167" s="83"/>
      <c r="E167" s="83"/>
      <c r="F167" s="83"/>
      <c r="G167" s="83"/>
      <c r="H167" s="83"/>
      <c r="I167" s="83"/>
      <c r="J167" s="83"/>
      <c r="K167" s="83"/>
      <c r="L167" s="83"/>
      <c r="M167" s="83"/>
      <c r="N167" s="83"/>
      <c r="O167" s="83"/>
      <c r="U167" s="83"/>
    </row>
    <row r="168" spans="2:21" s="4" customFormat="1" ht="12.75">
      <c r="B168" s="9"/>
      <c r="C168" s="14"/>
      <c r="D168" s="9"/>
      <c r="E168" s="16"/>
      <c r="F168" s="16"/>
      <c r="G168" s="16"/>
      <c r="H168" s="16"/>
      <c r="I168" s="16"/>
      <c r="J168" s="16"/>
      <c r="K168" s="16"/>
      <c r="L168" s="16"/>
      <c r="M168" s="16"/>
      <c r="N168" s="16"/>
      <c r="O168" s="16"/>
      <c r="U168" s="16"/>
    </row>
    <row r="169" spans="2:21" s="4" customFormat="1" ht="12.75">
      <c r="B169" s="370" t="str">
        <f>PO!$K$178</f>
        <v>Entre Rios do Sul</v>
      </c>
      <c r="C169" s="370"/>
      <c r="D169" s="9"/>
      <c r="E169" s="16"/>
      <c r="F169" s="16"/>
      <c r="G169" s="16"/>
      <c r="H169" s="16"/>
      <c r="I169" s="16"/>
      <c r="J169" s="16"/>
      <c r="K169" s="16"/>
      <c r="L169" s="16"/>
      <c r="M169" s="16"/>
      <c r="N169" s="16"/>
      <c r="O169" s="16"/>
      <c r="U169" s="16"/>
    </row>
    <row r="170" spans="2:21" s="4" customFormat="1" ht="12.75">
      <c r="B170" s="113" t="s">
        <v>120</v>
      </c>
      <c r="C170" s="14"/>
      <c r="D170" s="9"/>
      <c r="E170" s="16"/>
      <c r="F170" s="16"/>
      <c r="G170" s="16"/>
      <c r="H170" s="16"/>
      <c r="I170" s="16"/>
      <c r="J170" s="16"/>
      <c r="K170" s="16"/>
      <c r="L170" s="16"/>
      <c r="M170" s="16"/>
      <c r="N170" s="16"/>
      <c r="O170" s="16"/>
      <c r="U170" s="16"/>
    </row>
    <row r="171" spans="2:21" s="4" customFormat="1" ht="12.75">
      <c r="B171" s="14"/>
      <c r="C171" s="14"/>
      <c r="D171" s="9"/>
      <c r="E171" s="16"/>
      <c r="F171" s="16"/>
      <c r="G171" s="16"/>
      <c r="H171" s="16"/>
      <c r="I171" s="16"/>
      <c r="J171" s="16"/>
      <c r="K171" s="16"/>
      <c r="L171" s="16"/>
      <c r="M171" s="16"/>
      <c r="N171" s="16"/>
      <c r="O171" s="16"/>
      <c r="U171" s="16"/>
    </row>
    <row r="172" spans="2:21" s="4" customFormat="1" ht="12.75">
      <c r="B172" s="371" t="str">
        <f>PO!$K$181</f>
        <v>29 de janeiro de 2024</v>
      </c>
      <c r="C172" s="371"/>
      <c r="D172" s="9"/>
      <c r="E172" s="16"/>
      <c r="F172" s="16"/>
      <c r="G172" s="16"/>
      <c r="H172" s="16"/>
      <c r="I172" s="16"/>
      <c r="J172" s="16"/>
      <c r="K172" s="16"/>
      <c r="L172" s="16"/>
      <c r="M172" s="16"/>
      <c r="N172" s="16"/>
      <c r="O172" s="16"/>
      <c r="U172" s="16"/>
    </row>
    <row r="173" spans="2:21" s="4" customFormat="1" ht="12.75">
      <c r="B173" s="142" t="s">
        <v>121</v>
      </c>
      <c r="C173" s="143"/>
      <c r="D173" s="9"/>
      <c r="E173" s="16"/>
      <c r="F173" s="16"/>
      <c r="G173" s="16"/>
      <c r="H173" s="16"/>
      <c r="I173" s="16"/>
      <c r="J173" s="16"/>
      <c r="K173" s="16"/>
      <c r="L173" s="16"/>
      <c r="M173" s="16"/>
      <c r="N173" s="16"/>
      <c r="O173" s="16"/>
      <c r="U173" s="16"/>
    </row>
  </sheetData>
  <sheetProtection password="C95B" sheet="1" objects="1" scenarios="1"/>
  <mergeCells count="2">
    <mergeCell ref="B169:C169"/>
    <mergeCell ref="B172:C172"/>
  </mergeCells>
  <conditionalFormatting sqref="D11:E11 D118:E118 D109:E110 D13:E17 D49:E52 D19:E24 D44:E46 D30:E40 D42:E42 D100:E106 D98:E98 D54:E63 D113:E116 D65:E95 D128:E132 D136:E145 D148:E152">
    <cfRule type="expression" priority="1649" dxfId="85" stopIfTrue="1">
      <formula>$A11="Meta"</formula>
    </cfRule>
    <cfRule type="expression" priority="1650" dxfId="94" stopIfTrue="1">
      <formula>$A11&lt;&gt;"Serviço"</formula>
    </cfRule>
  </conditionalFormatting>
  <conditionalFormatting sqref="C11 C118 C109:C110 C13:C17 C49:C52 C19:C24 C44:C46 C30:C40 C42 C100:C106 C98 C54:C63 C113:C116 C65:C95 C128:C132 C136:C145 C148:C152">
    <cfRule type="expression" priority="1651" dxfId="91" stopIfTrue="1">
      <formula>$A11="Meta"</formula>
    </cfRule>
    <cfRule type="expression" priority="1652" dxfId="90" stopIfTrue="1">
      <formula>$A11&lt;&gt;"Serviço"</formula>
    </cfRule>
  </conditionalFormatting>
  <conditionalFormatting sqref="A11:B11 A118:B118 A109:B110 A13:B17 A49:B52 A19:B24 A44:B46 A30:B40 A42:B42 A100:B106 A98:B98 A54:B63 A113:B116 A65:B95 A128:B132 A136:B145 A148:B152">
    <cfRule type="expression" priority="1653" dxfId="91" stopIfTrue="1">
      <formula>$A11="Meta"</formula>
    </cfRule>
    <cfRule type="expression" priority="1654" dxfId="90" stopIfTrue="1">
      <formula>LEFT($A11,5)="Nível"</formula>
    </cfRule>
    <cfRule type="expression" priority="1655" dxfId="84" stopIfTrue="1">
      <formula>$A11=0</formula>
    </cfRule>
  </conditionalFormatting>
  <conditionalFormatting sqref="U11 U13:U17 F13:O17 U19:U25 F19:O25 F27:O40 U27:U40 U42:U63 F42:O63 F113:O122 U113:U122 F65:O111 U65:U111 U124:U125 F124:O125 U128:U145 F128:O145 U148:U152 F148:O152 F163:O166 U163:U166">
    <cfRule type="expression" priority="1665" dxfId="85" stopIfTrue="1">
      <formula>$A11="Meta"</formula>
    </cfRule>
    <cfRule type="expression" priority="1666" dxfId="84" stopIfTrue="1">
      <formula>OR(F$9=0,$A11&lt;&gt;"Serviço")</formula>
    </cfRule>
    <cfRule type="expression" priority="1667" dxfId="4" stopIfTrue="1">
      <formula>TipoOrçamento="Licitado"</formula>
    </cfRule>
  </conditionalFormatting>
  <conditionalFormatting sqref="U9">
    <cfRule type="expression" priority="1087" dxfId="84" stopIfTrue="1">
      <formula>AND(T9=0,U9=0)</formula>
    </cfRule>
    <cfRule type="expression" priority="1088" dxfId="4" stopIfTrue="1">
      <formula>TipoOrçamento="Licitado"</formula>
    </cfRule>
  </conditionalFormatting>
  <conditionalFormatting sqref="F11:O11">
    <cfRule type="expression" priority="1047" dxfId="85" stopIfTrue="1">
      <formula>$A11="Meta"</formula>
    </cfRule>
    <cfRule type="expression" priority="1048" dxfId="84" stopIfTrue="1">
      <formula>OR(F$9=0,$A11&lt;&gt;"Serviço")</formula>
    </cfRule>
    <cfRule type="expression" priority="1049" dxfId="4" stopIfTrue="1">
      <formula>TipoOrçamento="Licitado"</formula>
    </cfRule>
  </conditionalFormatting>
  <conditionalFormatting sqref="F9:O9">
    <cfRule type="expression" priority="1045" dxfId="84" stopIfTrue="1">
      <formula>AND(E9=0,F9=0)</formula>
    </cfRule>
    <cfRule type="expression" priority="1046" dxfId="4" stopIfTrue="1">
      <formula>TipoOrçamento="Licitado"</formula>
    </cfRule>
  </conditionalFormatting>
  <conditionalFormatting sqref="D27:E27">
    <cfRule type="expression" priority="963" dxfId="85" stopIfTrue="1">
      <formula>$A27="Meta"</formula>
    </cfRule>
    <cfRule type="expression" priority="964" dxfId="94" stopIfTrue="1">
      <formula>$A27&lt;&gt;"Serviço"</formula>
    </cfRule>
  </conditionalFormatting>
  <conditionalFormatting sqref="C27">
    <cfRule type="expression" priority="965" dxfId="91" stopIfTrue="1">
      <formula>$A27="Meta"</formula>
    </cfRule>
    <cfRule type="expression" priority="966" dxfId="90" stopIfTrue="1">
      <formula>$A27&lt;&gt;"Serviço"</formula>
    </cfRule>
  </conditionalFormatting>
  <conditionalFormatting sqref="A27:B27">
    <cfRule type="expression" priority="967" dxfId="91" stopIfTrue="1">
      <formula>$A27="Meta"</formula>
    </cfRule>
    <cfRule type="expression" priority="968" dxfId="90" stopIfTrue="1">
      <formula>LEFT($A27,5)="Nível"</formula>
    </cfRule>
    <cfRule type="expression" priority="969" dxfId="84" stopIfTrue="1">
      <formula>$A27=0</formula>
    </cfRule>
  </conditionalFormatting>
  <conditionalFormatting sqref="D25:E25">
    <cfRule type="expression" priority="861" dxfId="85" stopIfTrue="1">
      <formula>$A25="Meta"</formula>
    </cfRule>
    <cfRule type="expression" priority="862" dxfId="94" stopIfTrue="1">
      <formula>$A25&lt;&gt;"Serviço"</formula>
    </cfRule>
  </conditionalFormatting>
  <conditionalFormatting sqref="C25">
    <cfRule type="expression" priority="863" dxfId="91" stopIfTrue="1">
      <formula>$A25="Meta"</formula>
    </cfRule>
    <cfRule type="expression" priority="864" dxfId="90" stopIfTrue="1">
      <formula>$A25&lt;&gt;"Serviço"</formula>
    </cfRule>
  </conditionalFormatting>
  <conditionalFormatting sqref="A25:B25">
    <cfRule type="expression" priority="865" dxfId="91" stopIfTrue="1">
      <formula>$A25="Meta"</formula>
    </cfRule>
    <cfRule type="expression" priority="866" dxfId="90" stopIfTrue="1">
      <formula>LEFT($A25,5)="Nível"</formula>
    </cfRule>
    <cfRule type="expression" priority="867" dxfId="84" stopIfTrue="1">
      <formula>$A25=0</formula>
    </cfRule>
  </conditionalFormatting>
  <conditionalFormatting sqref="D53:E53">
    <cfRule type="expression" priority="761" dxfId="85" stopIfTrue="1">
      <formula>$A53="Meta"</formula>
    </cfRule>
    <cfRule type="expression" priority="762" dxfId="94" stopIfTrue="1">
      <formula>$A53&lt;&gt;"Serviço"</formula>
    </cfRule>
  </conditionalFormatting>
  <conditionalFormatting sqref="C53">
    <cfRule type="expression" priority="763" dxfId="91" stopIfTrue="1">
      <formula>$A53="Meta"</formula>
    </cfRule>
    <cfRule type="expression" priority="764" dxfId="90" stopIfTrue="1">
      <formula>$A53&lt;&gt;"Serviço"</formula>
    </cfRule>
  </conditionalFormatting>
  <conditionalFormatting sqref="A53:B53">
    <cfRule type="expression" priority="765" dxfId="91" stopIfTrue="1">
      <formula>$A53="Meta"</formula>
    </cfRule>
    <cfRule type="expression" priority="766" dxfId="90" stopIfTrue="1">
      <formula>LEFT($A53,5)="Nível"</formula>
    </cfRule>
    <cfRule type="expression" priority="767" dxfId="84" stopIfTrue="1">
      <formula>$A53=0</formula>
    </cfRule>
  </conditionalFormatting>
  <conditionalFormatting sqref="D117:E117">
    <cfRule type="expression" priority="709" dxfId="85" stopIfTrue="1">
      <formula>$A117="Meta"</formula>
    </cfRule>
    <cfRule type="expression" priority="710" dxfId="94" stopIfTrue="1">
      <formula>$A117&lt;&gt;"Serviço"</formula>
    </cfRule>
  </conditionalFormatting>
  <conditionalFormatting sqref="C117">
    <cfRule type="expression" priority="711" dxfId="91" stopIfTrue="1">
      <formula>$A117="Meta"</formula>
    </cfRule>
    <cfRule type="expression" priority="712" dxfId="90" stopIfTrue="1">
      <formula>$A117&lt;&gt;"Serviço"</formula>
    </cfRule>
  </conditionalFormatting>
  <conditionalFormatting sqref="A117:B117">
    <cfRule type="expression" priority="713" dxfId="91" stopIfTrue="1">
      <formula>$A117="Meta"</formula>
    </cfRule>
    <cfRule type="expression" priority="714" dxfId="90" stopIfTrue="1">
      <formula>LEFT($A117,5)="Nível"</formula>
    </cfRule>
    <cfRule type="expression" priority="715" dxfId="84" stopIfTrue="1">
      <formula>$A117=0</formula>
    </cfRule>
  </conditionalFormatting>
  <conditionalFormatting sqref="D111:E111">
    <cfRule type="expression" priority="550" dxfId="85" stopIfTrue="1">
      <formula>$A111="Meta"</formula>
    </cfRule>
    <cfRule type="expression" priority="551" dxfId="94" stopIfTrue="1">
      <formula>$A111&lt;&gt;"Serviço"</formula>
    </cfRule>
  </conditionalFormatting>
  <conditionalFormatting sqref="C111">
    <cfRule type="expression" priority="552" dxfId="91" stopIfTrue="1">
      <formula>$A111="Meta"</formula>
    </cfRule>
    <cfRule type="expression" priority="553" dxfId="90" stopIfTrue="1">
      <formula>$A111&lt;&gt;"Serviço"</formula>
    </cfRule>
  </conditionalFormatting>
  <conditionalFormatting sqref="A111:B111">
    <cfRule type="expression" priority="554" dxfId="91" stopIfTrue="1">
      <formula>$A111="Meta"</formula>
    </cfRule>
    <cfRule type="expression" priority="555" dxfId="90" stopIfTrue="1">
      <formula>LEFT($A111,5)="Nível"</formula>
    </cfRule>
    <cfRule type="expression" priority="556" dxfId="84" stopIfTrue="1">
      <formula>$A111=0</formula>
    </cfRule>
  </conditionalFormatting>
  <conditionalFormatting sqref="D107:E107">
    <cfRule type="expression" priority="498" dxfId="85" stopIfTrue="1">
      <formula>$A107="Meta"</formula>
    </cfRule>
    <cfRule type="expression" priority="499" dxfId="94" stopIfTrue="1">
      <formula>$A107&lt;&gt;"Serviço"</formula>
    </cfRule>
  </conditionalFormatting>
  <conditionalFormatting sqref="C107">
    <cfRule type="expression" priority="500" dxfId="91" stopIfTrue="1">
      <formula>$A107="Meta"</formula>
    </cfRule>
    <cfRule type="expression" priority="501" dxfId="90" stopIfTrue="1">
      <formula>$A107&lt;&gt;"Serviço"</formula>
    </cfRule>
  </conditionalFormatting>
  <conditionalFormatting sqref="A107:B107">
    <cfRule type="expression" priority="502" dxfId="91" stopIfTrue="1">
      <formula>$A107="Meta"</formula>
    </cfRule>
    <cfRule type="expression" priority="503" dxfId="90" stopIfTrue="1">
      <formula>LEFT($A107,5)="Nível"</formula>
    </cfRule>
    <cfRule type="expression" priority="504" dxfId="84" stopIfTrue="1">
      <formula>$A107=0</formula>
    </cfRule>
  </conditionalFormatting>
  <conditionalFormatting sqref="D99:E99">
    <cfRule type="expression" priority="446" dxfId="85" stopIfTrue="1">
      <formula>$A99="Meta"</formula>
    </cfRule>
    <cfRule type="expression" priority="447" dxfId="94" stopIfTrue="1">
      <formula>$A99&lt;&gt;"Serviço"</formula>
    </cfRule>
  </conditionalFormatting>
  <conditionalFormatting sqref="C99">
    <cfRule type="expression" priority="448" dxfId="91" stopIfTrue="1">
      <formula>$A99="Meta"</formula>
    </cfRule>
    <cfRule type="expression" priority="449" dxfId="90" stopIfTrue="1">
      <formula>$A99&lt;&gt;"Serviço"</formula>
    </cfRule>
  </conditionalFormatting>
  <conditionalFormatting sqref="A99:B99">
    <cfRule type="expression" priority="450" dxfId="91" stopIfTrue="1">
      <formula>$A99="Meta"</formula>
    </cfRule>
    <cfRule type="expression" priority="451" dxfId="90" stopIfTrue="1">
      <formula>LEFT($A99,5)="Nível"</formula>
    </cfRule>
    <cfRule type="expression" priority="452" dxfId="84" stopIfTrue="1">
      <formula>$A99=0</formula>
    </cfRule>
  </conditionalFormatting>
  <conditionalFormatting sqref="D47:E47">
    <cfRule type="expression" priority="407" dxfId="85" stopIfTrue="1">
      <formula>$A47="Meta"</formula>
    </cfRule>
    <cfRule type="expression" priority="408" dxfId="94" stopIfTrue="1">
      <formula>$A47&lt;&gt;"Serviço"</formula>
    </cfRule>
  </conditionalFormatting>
  <conditionalFormatting sqref="C47">
    <cfRule type="expression" priority="409" dxfId="91" stopIfTrue="1">
      <formula>$A47="Meta"</formula>
    </cfRule>
    <cfRule type="expression" priority="410" dxfId="90" stopIfTrue="1">
      <formula>$A47&lt;&gt;"Serviço"</formula>
    </cfRule>
  </conditionalFormatting>
  <conditionalFormatting sqref="A47:B47">
    <cfRule type="expression" priority="411" dxfId="91" stopIfTrue="1">
      <formula>$A47="Meta"</formula>
    </cfRule>
    <cfRule type="expression" priority="412" dxfId="90" stopIfTrue="1">
      <formula>LEFT($A47,5)="Nível"</formula>
    </cfRule>
    <cfRule type="expression" priority="413" dxfId="84" stopIfTrue="1">
      <formula>$A47=0</formula>
    </cfRule>
  </conditionalFormatting>
  <conditionalFormatting sqref="D28:E29">
    <cfRule type="expression" priority="329" dxfId="85" stopIfTrue="1">
      <formula>$A28="Meta"</formula>
    </cfRule>
    <cfRule type="expression" priority="330" dxfId="94" stopIfTrue="1">
      <formula>$A28&lt;&gt;"Serviço"</formula>
    </cfRule>
  </conditionalFormatting>
  <conditionalFormatting sqref="C28:C29">
    <cfRule type="expression" priority="331" dxfId="91" stopIfTrue="1">
      <formula>$A28="Meta"</formula>
    </cfRule>
    <cfRule type="expression" priority="332" dxfId="90" stopIfTrue="1">
      <formula>$A28&lt;&gt;"Serviço"</formula>
    </cfRule>
  </conditionalFormatting>
  <conditionalFormatting sqref="A28:B29">
    <cfRule type="expression" priority="333" dxfId="91" stopIfTrue="1">
      <formula>$A28="Meta"</formula>
    </cfRule>
    <cfRule type="expression" priority="334" dxfId="90" stopIfTrue="1">
      <formula>LEFT($A28,5)="Nível"</formula>
    </cfRule>
    <cfRule type="expression" priority="335" dxfId="84" stopIfTrue="1">
      <formula>$A28=0</formula>
    </cfRule>
  </conditionalFormatting>
  <conditionalFormatting sqref="D97:E97">
    <cfRule type="expression" priority="277" dxfId="85" stopIfTrue="1">
      <formula>$A97="Meta"</formula>
    </cfRule>
    <cfRule type="expression" priority="278" dxfId="94" stopIfTrue="1">
      <formula>$A97&lt;&gt;"Serviço"</formula>
    </cfRule>
  </conditionalFormatting>
  <conditionalFormatting sqref="C97">
    <cfRule type="expression" priority="279" dxfId="91" stopIfTrue="1">
      <formula>$A97="Meta"</formula>
    </cfRule>
    <cfRule type="expression" priority="280" dxfId="90" stopIfTrue="1">
      <formula>$A97&lt;&gt;"Serviço"</formula>
    </cfRule>
  </conditionalFormatting>
  <conditionalFormatting sqref="A97:B97">
    <cfRule type="expression" priority="281" dxfId="91" stopIfTrue="1">
      <formula>$A97="Meta"</formula>
    </cfRule>
    <cfRule type="expression" priority="282" dxfId="90" stopIfTrue="1">
      <formula>LEFT($A97,5)="Nível"</formula>
    </cfRule>
    <cfRule type="expression" priority="283" dxfId="84" stopIfTrue="1">
      <formula>$A97=0</formula>
    </cfRule>
  </conditionalFormatting>
  <conditionalFormatting sqref="D96:E96">
    <cfRule type="expression" priority="264" dxfId="85" stopIfTrue="1">
      <formula>$A96="Meta"</formula>
    </cfRule>
    <cfRule type="expression" priority="265" dxfId="94" stopIfTrue="1">
      <formula>$A96&lt;&gt;"Serviço"</formula>
    </cfRule>
  </conditionalFormatting>
  <conditionalFormatting sqref="C96">
    <cfRule type="expression" priority="266" dxfId="91" stopIfTrue="1">
      <formula>$A96="Meta"</formula>
    </cfRule>
    <cfRule type="expression" priority="267" dxfId="90" stopIfTrue="1">
      <formula>$A96&lt;&gt;"Serviço"</formula>
    </cfRule>
  </conditionalFormatting>
  <conditionalFormatting sqref="A96:B96">
    <cfRule type="expression" priority="268" dxfId="91" stopIfTrue="1">
      <formula>$A96="Meta"</formula>
    </cfRule>
    <cfRule type="expression" priority="269" dxfId="90" stopIfTrue="1">
      <formula>LEFT($A96,5)="Nível"</formula>
    </cfRule>
    <cfRule type="expression" priority="270" dxfId="84" stopIfTrue="1">
      <formula>$A96=0</formula>
    </cfRule>
  </conditionalFormatting>
  <conditionalFormatting sqref="D108:E108">
    <cfRule type="expression" priority="238" dxfId="85" stopIfTrue="1">
      <formula>$A108="Meta"</formula>
    </cfRule>
    <cfRule type="expression" priority="239" dxfId="94" stopIfTrue="1">
      <formula>$A108&lt;&gt;"Serviço"</formula>
    </cfRule>
  </conditionalFormatting>
  <conditionalFormatting sqref="C108">
    <cfRule type="expression" priority="240" dxfId="91" stopIfTrue="1">
      <formula>$A108="Meta"</formula>
    </cfRule>
    <cfRule type="expression" priority="241" dxfId="90" stopIfTrue="1">
      <formula>$A108&lt;&gt;"Serviço"</formula>
    </cfRule>
  </conditionalFormatting>
  <conditionalFormatting sqref="A108:B108">
    <cfRule type="expression" priority="242" dxfId="91" stopIfTrue="1">
      <formula>$A108="Meta"</formula>
    </cfRule>
    <cfRule type="expression" priority="243" dxfId="90" stopIfTrue="1">
      <formula>LEFT($A108,5)="Nível"</formula>
    </cfRule>
    <cfRule type="expression" priority="244" dxfId="84" stopIfTrue="1">
      <formula>$A108=0</formula>
    </cfRule>
  </conditionalFormatting>
  <conditionalFormatting sqref="D18:E18">
    <cfRule type="expression" priority="225" dxfId="85" stopIfTrue="1">
      <formula>$A18="Meta"</formula>
    </cfRule>
    <cfRule type="expression" priority="226" dxfId="94" stopIfTrue="1">
      <formula>$A18&lt;&gt;"Serviço"</formula>
    </cfRule>
  </conditionalFormatting>
  <conditionalFormatting sqref="C18">
    <cfRule type="expression" priority="227" dxfId="91" stopIfTrue="1">
      <formula>$A18="Meta"</formula>
    </cfRule>
    <cfRule type="expression" priority="228" dxfId="90" stopIfTrue="1">
      <formula>$A18&lt;&gt;"Serviço"</formula>
    </cfRule>
  </conditionalFormatting>
  <conditionalFormatting sqref="A18:B18">
    <cfRule type="expression" priority="229" dxfId="91" stopIfTrue="1">
      <formula>$A18="Meta"</formula>
    </cfRule>
    <cfRule type="expression" priority="230" dxfId="90" stopIfTrue="1">
      <formula>LEFT($A18,5)="Nível"</formula>
    </cfRule>
    <cfRule type="expression" priority="231" dxfId="84" stopIfTrue="1">
      <formula>$A18=0</formula>
    </cfRule>
  </conditionalFormatting>
  <conditionalFormatting sqref="U18">
    <cfRule type="expression" priority="232" dxfId="85" stopIfTrue="1">
      <formula>$A18="Meta"</formula>
    </cfRule>
    <cfRule type="expression" priority="233" dxfId="84" stopIfTrue="1">
      <formula>OR(U$9=0,$A18&lt;&gt;"Serviço")</formula>
    </cfRule>
    <cfRule type="expression" priority="234" dxfId="4" stopIfTrue="1">
      <formula>TipoOrçamento="Licitado"</formula>
    </cfRule>
  </conditionalFormatting>
  <conditionalFormatting sqref="F18:O18">
    <cfRule type="expression" priority="222" dxfId="85" stopIfTrue="1">
      <formula>$A18="Meta"</formula>
    </cfRule>
    <cfRule type="expression" priority="223" dxfId="84" stopIfTrue="1">
      <formula>OR(F$9=0,$A18&lt;&gt;"Serviço")</formula>
    </cfRule>
    <cfRule type="expression" priority="224" dxfId="4" stopIfTrue="1">
      <formula>TipoOrçamento="Licitado"</formula>
    </cfRule>
  </conditionalFormatting>
  <conditionalFormatting sqref="D119:E122">
    <cfRule type="expression" priority="212" dxfId="85" stopIfTrue="1">
      <formula>$A119="Meta"</formula>
    </cfRule>
    <cfRule type="expression" priority="213" dxfId="94" stopIfTrue="1">
      <formula>$A119&lt;&gt;"Serviço"</formula>
    </cfRule>
  </conditionalFormatting>
  <conditionalFormatting sqref="C119:C122">
    <cfRule type="expression" priority="214" dxfId="91" stopIfTrue="1">
      <formula>$A119="Meta"</formula>
    </cfRule>
    <cfRule type="expression" priority="215" dxfId="90" stopIfTrue="1">
      <formula>$A119&lt;&gt;"Serviço"</formula>
    </cfRule>
  </conditionalFormatting>
  <conditionalFormatting sqref="A119:B122">
    <cfRule type="expression" priority="216" dxfId="91" stopIfTrue="1">
      <formula>$A119="Meta"</formula>
    </cfRule>
    <cfRule type="expression" priority="217" dxfId="90" stopIfTrue="1">
      <formula>LEFT($A119,5)="Nível"</formula>
    </cfRule>
    <cfRule type="expression" priority="218" dxfId="84" stopIfTrue="1">
      <formula>$A119=0</formula>
    </cfRule>
  </conditionalFormatting>
  <conditionalFormatting sqref="D43:E43">
    <cfRule type="expression" priority="199" dxfId="85" stopIfTrue="1">
      <formula>$A43="Meta"</formula>
    </cfRule>
    <cfRule type="expression" priority="200" dxfId="94" stopIfTrue="1">
      <formula>$A43&lt;&gt;"Serviço"</formula>
    </cfRule>
  </conditionalFormatting>
  <conditionalFormatting sqref="C43">
    <cfRule type="expression" priority="201" dxfId="91" stopIfTrue="1">
      <formula>$A43="Meta"</formula>
    </cfRule>
    <cfRule type="expression" priority="202" dxfId="90" stopIfTrue="1">
      <formula>$A43&lt;&gt;"Serviço"</formula>
    </cfRule>
  </conditionalFormatting>
  <conditionalFormatting sqref="A43:B43">
    <cfRule type="expression" priority="203" dxfId="91" stopIfTrue="1">
      <formula>$A43="Meta"</formula>
    </cfRule>
    <cfRule type="expression" priority="204" dxfId="90" stopIfTrue="1">
      <formula>LEFT($A43,5)="Nível"</formula>
    </cfRule>
    <cfRule type="expression" priority="205" dxfId="84" stopIfTrue="1">
      <formula>$A43=0</formula>
    </cfRule>
  </conditionalFormatting>
  <conditionalFormatting sqref="D41:E41">
    <cfRule type="expression" priority="186" dxfId="85" stopIfTrue="1">
      <formula>$A41="Meta"</formula>
    </cfRule>
    <cfRule type="expression" priority="187" dxfId="94" stopIfTrue="1">
      <formula>$A41&lt;&gt;"Serviço"</formula>
    </cfRule>
  </conditionalFormatting>
  <conditionalFormatting sqref="C41">
    <cfRule type="expression" priority="188" dxfId="91" stopIfTrue="1">
      <formula>$A41="Meta"</formula>
    </cfRule>
    <cfRule type="expression" priority="189" dxfId="90" stopIfTrue="1">
      <formula>$A41&lt;&gt;"Serviço"</formula>
    </cfRule>
  </conditionalFormatting>
  <conditionalFormatting sqref="A41:B41">
    <cfRule type="expression" priority="190" dxfId="91" stopIfTrue="1">
      <formula>$A41="Meta"</formula>
    </cfRule>
    <cfRule type="expression" priority="191" dxfId="90" stopIfTrue="1">
      <formula>LEFT($A41,5)="Nível"</formula>
    </cfRule>
    <cfRule type="expression" priority="192" dxfId="84" stopIfTrue="1">
      <formula>$A41=0</formula>
    </cfRule>
  </conditionalFormatting>
  <conditionalFormatting sqref="U41">
    <cfRule type="expression" priority="193" dxfId="85" stopIfTrue="1">
      <formula>$A41="Meta"</formula>
    </cfRule>
    <cfRule type="expression" priority="194" dxfId="84" stopIfTrue="1">
      <formula>OR(U$9=0,$A41&lt;&gt;"Serviço")</formula>
    </cfRule>
    <cfRule type="expression" priority="195" dxfId="4" stopIfTrue="1">
      <formula>TipoOrçamento="Licitado"</formula>
    </cfRule>
  </conditionalFormatting>
  <conditionalFormatting sqref="F41:O41">
    <cfRule type="expression" priority="183" dxfId="85" stopIfTrue="1">
      <formula>$A41="Meta"</formula>
    </cfRule>
    <cfRule type="expression" priority="184" dxfId="84" stopIfTrue="1">
      <formula>OR(F$9=0,$A41&lt;&gt;"Serviço")</formula>
    </cfRule>
    <cfRule type="expression" priority="185" dxfId="4" stopIfTrue="1">
      <formula>TipoOrçamento="Licitado"</formula>
    </cfRule>
  </conditionalFormatting>
  <conditionalFormatting sqref="D26:E26">
    <cfRule type="expression" priority="173" dxfId="85" stopIfTrue="1">
      <formula>$A26="Meta"</formula>
    </cfRule>
    <cfRule type="expression" priority="174" dxfId="94" stopIfTrue="1">
      <formula>$A26&lt;&gt;"Serviço"</formula>
    </cfRule>
  </conditionalFormatting>
  <conditionalFormatting sqref="C26">
    <cfRule type="expression" priority="175" dxfId="91" stopIfTrue="1">
      <formula>$A26="Meta"</formula>
    </cfRule>
    <cfRule type="expression" priority="176" dxfId="90" stopIfTrue="1">
      <formula>$A26&lt;&gt;"Serviço"</formula>
    </cfRule>
  </conditionalFormatting>
  <conditionalFormatting sqref="A26:B26">
    <cfRule type="expression" priority="177" dxfId="91" stopIfTrue="1">
      <formula>$A26="Meta"</formula>
    </cfRule>
    <cfRule type="expression" priority="178" dxfId="90" stopIfTrue="1">
      <formula>LEFT($A26,5)="Nível"</formula>
    </cfRule>
    <cfRule type="expression" priority="179" dxfId="84" stopIfTrue="1">
      <formula>$A26=0</formula>
    </cfRule>
  </conditionalFormatting>
  <conditionalFormatting sqref="U26">
    <cfRule type="expression" priority="180" dxfId="85" stopIfTrue="1">
      <formula>$A26="Meta"</formula>
    </cfRule>
    <cfRule type="expression" priority="181" dxfId="84" stopIfTrue="1">
      <formula>OR(U$9=0,$A26&lt;&gt;"Serviço")</formula>
    </cfRule>
    <cfRule type="expression" priority="182" dxfId="4" stopIfTrue="1">
      <formula>TipoOrçamento="Licitado"</formula>
    </cfRule>
  </conditionalFormatting>
  <conditionalFormatting sqref="F26:O26">
    <cfRule type="expression" priority="170" dxfId="85" stopIfTrue="1">
      <formula>$A26="Meta"</formula>
    </cfRule>
    <cfRule type="expression" priority="171" dxfId="84" stopIfTrue="1">
      <formula>OR(F$9=0,$A26&lt;&gt;"Serviço")</formula>
    </cfRule>
    <cfRule type="expression" priority="172" dxfId="4" stopIfTrue="1">
      <formula>TipoOrçamento="Licitado"</formula>
    </cfRule>
  </conditionalFormatting>
  <conditionalFormatting sqref="D48:E48">
    <cfRule type="expression" priority="160" dxfId="85" stopIfTrue="1">
      <formula>$A48="Meta"</formula>
    </cfRule>
    <cfRule type="expression" priority="161" dxfId="94" stopIfTrue="1">
      <formula>$A48&lt;&gt;"Serviço"</formula>
    </cfRule>
  </conditionalFormatting>
  <conditionalFormatting sqref="C48">
    <cfRule type="expression" priority="162" dxfId="91" stopIfTrue="1">
      <formula>$A48="Meta"</formula>
    </cfRule>
    <cfRule type="expression" priority="163" dxfId="90" stopIfTrue="1">
      <formula>$A48&lt;&gt;"Serviço"</formula>
    </cfRule>
  </conditionalFormatting>
  <conditionalFormatting sqref="A48:B48">
    <cfRule type="expression" priority="164" dxfId="91" stopIfTrue="1">
      <formula>$A48="Meta"</formula>
    </cfRule>
    <cfRule type="expression" priority="165" dxfId="90" stopIfTrue="1">
      <formula>LEFT($A48,5)="Nível"</formula>
    </cfRule>
    <cfRule type="expression" priority="166" dxfId="84" stopIfTrue="1">
      <formula>$A48=0</formula>
    </cfRule>
  </conditionalFormatting>
  <conditionalFormatting sqref="D112:E112">
    <cfRule type="expression" priority="147" dxfId="85" stopIfTrue="1">
      <formula>$A112="Meta"</formula>
    </cfRule>
    <cfRule type="expression" priority="148" dxfId="94" stopIfTrue="1">
      <formula>$A112&lt;&gt;"Serviço"</formula>
    </cfRule>
  </conditionalFormatting>
  <conditionalFormatting sqref="C112">
    <cfRule type="expression" priority="149" dxfId="91" stopIfTrue="1">
      <formula>$A112="Meta"</formula>
    </cfRule>
    <cfRule type="expression" priority="150" dxfId="90" stopIfTrue="1">
      <formula>$A112&lt;&gt;"Serviço"</formula>
    </cfRule>
  </conditionalFormatting>
  <conditionalFormatting sqref="A112:B112">
    <cfRule type="expression" priority="151" dxfId="91" stopIfTrue="1">
      <formula>$A112="Meta"</formula>
    </cfRule>
    <cfRule type="expression" priority="152" dxfId="90" stopIfTrue="1">
      <formula>LEFT($A112,5)="Nível"</formula>
    </cfRule>
    <cfRule type="expression" priority="153" dxfId="84" stopIfTrue="1">
      <formula>$A112=0</formula>
    </cfRule>
  </conditionalFormatting>
  <conditionalFormatting sqref="U112">
    <cfRule type="expression" priority="154" dxfId="85" stopIfTrue="1">
      <formula>$A112="Meta"</formula>
    </cfRule>
    <cfRule type="expression" priority="155" dxfId="84" stopIfTrue="1">
      <formula>OR(U$9=0,$A112&lt;&gt;"Serviço")</formula>
    </cfRule>
    <cfRule type="expression" priority="156" dxfId="4" stopIfTrue="1">
      <formula>TipoOrçamento="Licitado"</formula>
    </cfRule>
  </conditionalFormatting>
  <conditionalFormatting sqref="F112:O112">
    <cfRule type="expression" priority="144" dxfId="85" stopIfTrue="1">
      <formula>$A112="Meta"</formula>
    </cfRule>
    <cfRule type="expression" priority="145" dxfId="84" stopIfTrue="1">
      <formula>OR(F$9=0,$A112&lt;&gt;"Serviço")</formula>
    </cfRule>
    <cfRule type="expression" priority="146" dxfId="4" stopIfTrue="1">
      <formula>TipoOrçamento="Licitado"</formula>
    </cfRule>
  </conditionalFormatting>
  <conditionalFormatting sqref="D123:E123 D164:E165">
    <cfRule type="expression" priority="134" dxfId="85" stopIfTrue="1">
      <formula>$A123="Meta"</formula>
    </cfRule>
    <cfRule type="expression" priority="135" dxfId="94" stopIfTrue="1">
      <formula>$A123&lt;&gt;"Serviço"</formula>
    </cfRule>
  </conditionalFormatting>
  <conditionalFormatting sqref="C123 C164:C165">
    <cfRule type="expression" priority="136" dxfId="91" stopIfTrue="1">
      <formula>$A123="Meta"</formula>
    </cfRule>
    <cfRule type="expression" priority="137" dxfId="90" stopIfTrue="1">
      <formula>$A123&lt;&gt;"Serviço"</formula>
    </cfRule>
  </conditionalFormatting>
  <conditionalFormatting sqref="A123:B123 A164:B165">
    <cfRule type="expression" priority="138" dxfId="91" stopIfTrue="1">
      <formula>$A123="Meta"</formula>
    </cfRule>
    <cfRule type="expression" priority="139" dxfId="90" stopIfTrue="1">
      <formula>LEFT($A123,5)="Nível"</formula>
    </cfRule>
    <cfRule type="expression" priority="140" dxfId="84" stopIfTrue="1">
      <formula>$A123=0</formula>
    </cfRule>
  </conditionalFormatting>
  <conditionalFormatting sqref="U123">
    <cfRule type="expression" priority="141" dxfId="85" stopIfTrue="1">
      <formula>$A123="Meta"</formula>
    </cfRule>
    <cfRule type="expression" priority="142" dxfId="84" stopIfTrue="1">
      <formula>OR(U$9=0,$A123&lt;&gt;"Serviço")</formula>
    </cfRule>
    <cfRule type="expression" priority="143" dxfId="4" stopIfTrue="1">
      <formula>TipoOrçamento="Licitado"</formula>
    </cfRule>
  </conditionalFormatting>
  <conditionalFormatting sqref="F123:O123">
    <cfRule type="expression" priority="131" dxfId="85" stopIfTrue="1">
      <formula>$A123="Meta"</formula>
    </cfRule>
    <cfRule type="expression" priority="132" dxfId="84" stopIfTrue="1">
      <formula>OR(F$9=0,$A123&lt;&gt;"Serviço")</formula>
    </cfRule>
    <cfRule type="expression" priority="133" dxfId="4" stopIfTrue="1">
      <formula>TipoOrçamento="Licitado"</formula>
    </cfRule>
  </conditionalFormatting>
  <conditionalFormatting sqref="D64:E64">
    <cfRule type="expression" priority="121" dxfId="85" stopIfTrue="1">
      <formula>$A64="Meta"</formula>
    </cfRule>
    <cfRule type="expression" priority="122" dxfId="94" stopIfTrue="1">
      <formula>$A64&lt;&gt;"Serviço"</formula>
    </cfRule>
  </conditionalFormatting>
  <conditionalFormatting sqref="C64">
    <cfRule type="expression" priority="123" dxfId="91" stopIfTrue="1">
      <formula>$A64="Meta"</formula>
    </cfRule>
    <cfRule type="expression" priority="124" dxfId="90" stopIfTrue="1">
      <formula>$A64&lt;&gt;"Serviço"</formula>
    </cfRule>
  </conditionalFormatting>
  <conditionalFormatting sqref="A64:B64">
    <cfRule type="expression" priority="125" dxfId="91" stopIfTrue="1">
      <formula>$A64="Meta"</formula>
    </cfRule>
    <cfRule type="expression" priority="126" dxfId="90" stopIfTrue="1">
      <formula>LEFT($A64,5)="Nível"</formula>
    </cfRule>
    <cfRule type="expression" priority="127" dxfId="84" stopIfTrue="1">
      <formula>$A64=0</formula>
    </cfRule>
  </conditionalFormatting>
  <conditionalFormatting sqref="U64">
    <cfRule type="expression" priority="128" dxfId="85" stopIfTrue="1">
      <formula>$A64="Meta"</formula>
    </cfRule>
    <cfRule type="expression" priority="129" dxfId="84" stopIfTrue="1">
      <formula>OR(U$9=0,$A64&lt;&gt;"Serviço")</formula>
    </cfRule>
    <cfRule type="expression" priority="130" dxfId="4" stopIfTrue="1">
      <formula>TipoOrçamento="Licitado"</formula>
    </cfRule>
  </conditionalFormatting>
  <conditionalFormatting sqref="F64:O64">
    <cfRule type="expression" priority="118" dxfId="85" stopIfTrue="1">
      <formula>$A64="Meta"</formula>
    </cfRule>
    <cfRule type="expression" priority="119" dxfId="84" stopIfTrue="1">
      <formula>OR(F$9=0,$A64&lt;&gt;"Serviço")</formula>
    </cfRule>
    <cfRule type="expression" priority="120" dxfId="4" stopIfTrue="1">
      <formula>TipoOrçamento="Licitado"</formula>
    </cfRule>
  </conditionalFormatting>
  <conditionalFormatting sqref="D125:E125 D163:E163">
    <cfRule type="expression" priority="108" dxfId="85" stopIfTrue="1">
      <formula>$A125="Meta"</formula>
    </cfRule>
    <cfRule type="expression" priority="109" dxfId="94" stopIfTrue="1">
      <formula>$A125&lt;&gt;"Serviço"</formula>
    </cfRule>
  </conditionalFormatting>
  <conditionalFormatting sqref="C125 C163">
    <cfRule type="expression" priority="110" dxfId="91" stopIfTrue="1">
      <formula>$A125="Meta"</formula>
    </cfRule>
    <cfRule type="expression" priority="111" dxfId="90" stopIfTrue="1">
      <formula>$A125&lt;&gt;"Serviço"</formula>
    </cfRule>
  </conditionalFormatting>
  <conditionalFormatting sqref="A125:B125 A163:B163">
    <cfRule type="expression" priority="112" dxfId="91" stopIfTrue="1">
      <formula>$A125="Meta"</formula>
    </cfRule>
    <cfRule type="expression" priority="113" dxfId="90" stopIfTrue="1">
      <formula>LEFT($A125,5)="Nível"</formula>
    </cfRule>
    <cfRule type="expression" priority="114" dxfId="84" stopIfTrue="1">
      <formula>$A125=0</formula>
    </cfRule>
  </conditionalFormatting>
  <conditionalFormatting sqref="D124:E124">
    <cfRule type="expression" priority="95" dxfId="85" stopIfTrue="1">
      <formula>$A124="Meta"</formula>
    </cfRule>
    <cfRule type="expression" priority="96" dxfId="94" stopIfTrue="1">
      <formula>$A124&lt;&gt;"Serviço"</formula>
    </cfRule>
  </conditionalFormatting>
  <conditionalFormatting sqref="C124">
    <cfRule type="expression" priority="97" dxfId="91" stopIfTrue="1">
      <formula>$A124="Meta"</formula>
    </cfRule>
    <cfRule type="expression" priority="98" dxfId="90" stopIfTrue="1">
      <formula>$A124&lt;&gt;"Serviço"</formula>
    </cfRule>
  </conditionalFormatting>
  <conditionalFormatting sqref="A124:B124">
    <cfRule type="expression" priority="99" dxfId="91" stopIfTrue="1">
      <formula>$A124="Meta"</formula>
    </cfRule>
    <cfRule type="expression" priority="100" dxfId="90" stopIfTrue="1">
      <formula>LEFT($A124,5)="Nível"</formula>
    </cfRule>
    <cfRule type="expression" priority="101" dxfId="84" stopIfTrue="1">
      <formula>$A124=0</formula>
    </cfRule>
  </conditionalFormatting>
  <conditionalFormatting sqref="D166:E166">
    <cfRule type="expression" priority="82" dxfId="85" stopIfTrue="1">
      <formula>$A166="Meta"</formula>
    </cfRule>
    <cfRule type="expression" priority="83" dxfId="94" stopIfTrue="1">
      <formula>$A166&lt;&gt;"Serviço"</formula>
    </cfRule>
  </conditionalFormatting>
  <conditionalFormatting sqref="C166">
    <cfRule type="expression" priority="84" dxfId="91" stopIfTrue="1">
      <formula>$A166="Meta"</formula>
    </cfRule>
    <cfRule type="expression" priority="85" dxfId="90" stopIfTrue="1">
      <formula>$A166&lt;&gt;"Serviço"</formula>
    </cfRule>
  </conditionalFormatting>
  <conditionalFormatting sqref="A166:B166">
    <cfRule type="expression" priority="86" dxfId="91" stopIfTrue="1">
      <formula>$A166="Meta"</formula>
    </cfRule>
    <cfRule type="expression" priority="87" dxfId="90" stopIfTrue="1">
      <formula>LEFT($A166,5)="Nível"</formula>
    </cfRule>
    <cfRule type="expression" priority="88" dxfId="84" stopIfTrue="1">
      <formula>$A166=0</formula>
    </cfRule>
  </conditionalFormatting>
  <conditionalFormatting sqref="D126:E127 D133:E135">
    <cfRule type="expression" priority="69" dxfId="85" stopIfTrue="1">
      <formula>$A126="Meta"</formula>
    </cfRule>
    <cfRule type="expression" priority="70" dxfId="94" stopIfTrue="1">
      <formula>$A126&lt;&gt;"Serviço"</formula>
    </cfRule>
  </conditionalFormatting>
  <conditionalFormatting sqref="C126:C127 C133:C135">
    <cfRule type="expression" priority="71" dxfId="91" stopIfTrue="1">
      <formula>$A126="Meta"</formula>
    </cfRule>
    <cfRule type="expression" priority="72" dxfId="90" stopIfTrue="1">
      <formula>$A126&lt;&gt;"Serviço"</formula>
    </cfRule>
  </conditionalFormatting>
  <conditionalFormatting sqref="A126:B127 A133:B135">
    <cfRule type="expression" priority="73" dxfId="91" stopIfTrue="1">
      <formula>$A126="Meta"</formula>
    </cfRule>
    <cfRule type="expression" priority="74" dxfId="90" stopIfTrue="1">
      <formula>LEFT($A126,5)="Nível"</formula>
    </cfRule>
    <cfRule type="expression" priority="75" dxfId="84" stopIfTrue="1">
      <formula>$A126=0</formula>
    </cfRule>
  </conditionalFormatting>
  <conditionalFormatting sqref="U126:U127">
    <cfRule type="expression" priority="76" dxfId="85" stopIfTrue="1">
      <formula>$A126="Meta"</formula>
    </cfRule>
    <cfRule type="expression" priority="77" dxfId="84" stopIfTrue="1">
      <formula>OR(U$9=0,$A126&lt;&gt;"Serviço")</formula>
    </cfRule>
    <cfRule type="expression" priority="78" dxfId="4" stopIfTrue="1">
      <formula>TipoOrçamento="Licitado"</formula>
    </cfRule>
  </conditionalFormatting>
  <conditionalFormatting sqref="F126:O127">
    <cfRule type="expression" priority="66" dxfId="85" stopIfTrue="1">
      <formula>$A126="Meta"</formula>
    </cfRule>
    <cfRule type="expression" priority="67" dxfId="84" stopIfTrue="1">
      <formula>OR(F$9=0,$A126&lt;&gt;"Serviço")</formula>
    </cfRule>
    <cfRule type="expression" priority="68" dxfId="4" stopIfTrue="1">
      <formula>TipoOrçamento="Licitado"</formula>
    </cfRule>
  </conditionalFormatting>
  <conditionalFormatting sqref="D146:E146">
    <cfRule type="expression" priority="30" dxfId="85" stopIfTrue="1">
      <formula>$A146="Meta"</formula>
    </cfRule>
    <cfRule type="expression" priority="31" dxfId="94" stopIfTrue="1">
      <formula>$A146&lt;&gt;"Serviço"</formula>
    </cfRule>
  </conditionalFormatting>
  <conditionalFormatting sqref="C146">
    <cfRule type="expression" priority="32" dxfId="91" stopIfTrue="1">
      <formula>$A146="Meta"</formula>
    </cfRule>
    <cfRule type="expression" priority="33" dxfId="90" stopIfTrue="1">
      <formula>$A146&lt;&gt;"Serviço"</formula>
    </cfRule>
  </conditionalFormatting>
  <conditionalFormatting sqref="A146:B146">
    <cfRule type="expression" priority="34" dxfId="91" stopIfTrue="1">
      <formula>$A146="Meta"</formula>
    </cfRule>
    <cfRule type="expression" priority="35" dxfId="90" stopIfTrue="1">
      <formula>LEFT($A146,5)="Nível"</formula>
    </cfRule>
    <cfRule type="expression" priority="36" dxfId="84" stopIfTrue="1">
      <formula>$A146=0</formula>
    </cfRule>
  </conditionalFormatting>
  <conditionalFormatting sqref="U146">
    <cfRule type="expression" priority="37" dxfId="85" stopIfTrue="1">
      <formula>$A146="Meta"</formula>
    </cfRule>
    <cfRule type="expression" priority="38" dxfId="84" stopIfTrue="1">
      <formula>OR(U$9=0,$A146&lt;&gt;"Serviço")</formula>
    </cfRule>
    <cfRule type="expression" priority="39" dxfId="4" stopIfTrue="1">
      <formula>TipoOrçamento="Licitado"</formula>
    </cfRule>
  </conditionalFormatting>
  <conditionalFormatting sqref="F146:O146">
    <cfRule type="expression" priority="27" dxfId="85" stopIfTrue="1">
      <formula>$A146="Meta"</formula>
    </cfRule>
    <cfRule type="expression" priority="28" dxfId="84" stopIfTrue="1">
      <formula>OR(F$9=0,$A146&lt;&gt;"Serviço")</formula>
    </cfRule>
    <cfRule type="expression" priority="29" dxfId="4" stopIfTrue="1">
      <formula>TipoOrçamento="Licitado"</formula>
    </cfRule>
  </conditionalFormatting>
  <conditionalFormatting sqref="D147:E147">
    <cfRule type="expression" priority="17" dxfId="85" stopIfTrue="1">
      <formula>$A147="Meta"</formula>
    </cfRule>
    <cfRule type="expression" priority="18" dxfId="94" stopIfTrue="1">
      <formula>$A147&lt;&gt;"Serviço"</formula>
    </cfRule>
  </conditionalFormatting>
  <conditionalFormatting sqref="C147">
    <cfRule type="expression" priority="19" dxfId="91" stopIfTrue="1">
      <formula>$A147="Meta"</formula>
    </cfRule>
    <cfRule type="expression" priority="20" dxfId="90" stopIfTrue="1">
      <formula>$A147&lt;&gt;"Serviço"</formula>
    </cfRule>
  </conditionalFormatting>
  <conditionalFormatting sqref="A147:B147">
    <cfRule type="expression" priority="21" dxfId="91" stopIfTrue="1">
      <formula>$A147="Meta"</formula>
    </cfRule>
    <cfRule type="expression" priority="22" dxfId="90" stopIfTrue="1">
      <formula>LEFT($A147,5)="Nível"</formula>
    </cfRule>
    <cfRule type="expression" priority="23" dxfId="84" stopIfTrue="1">
      <formula>$A147=0</formula>
    </cfRule>
  </conditionalFormatting>
  <conditionalFormatting sqref="U147">
    <cfRule type="expression" priority="24" dxfId="85" stopIfTrue="1">
      <formula>$A147="Meta"</formula>
    </cfRule>
    <cfRule type="expression" priority="25" dxfId="84" stopIfTrue="1">
      <formula>OR(U$9=0,$A147&lt;&gt;"Serviço")</formula>
    </cfRule>
    <cfRule type="expression" priority="26" dxfId="4" stopIfTrue="1">
      <formula>TipoOrçamento="Licitado"</formula>
    </cfRule>
  </conditionalFormatting>
  <conditionalFormatting sqref="F147:O147">
    <cfRule type="expression" priority="14" dxfId="85" stopIfTrue="1">
      <formula>$A147="Meta"</formula>
    </cfRule>
    <cfRule type="expression" priority="15" dxfId="84" stopIfTrue="1">
      <formula>OR(F$9=0,$A147&lt;&gt;"Serviço")</formula>
    </cfRule>
    <cfRule type="expression" priority="16" dxfId="4" stopIfTrue="1">
      <formula>TipoOrçamento="Licitado"</formula>
    </cfRule>
  </conditionalFormatting>
  <conditionalFormatting sqref="D153:E162">
    <cfRule type="expression" priority="4" dxfId="85" stopIfTrue="1">
      <formula>$A153="Meta"</formula>
    </cfRule>
    <cfRule type="expression" priority="5" dxfId="94" stopIfTrue="1">
      <formula>$A153&lt;&gt;"Serviço"</formula>
    </cfRule>
  </conditionalFormatting>
  <conditionalFormatting sqref="C153:C162">
    <cfRule type="expression" priority="6" dxfId="91" stopIfTrue="1">
      <formula>$A153="Meta"</formula>
    </cfRule>
    <cfRule type="expression" priority="7" dxfId="90" stopIfTrue="1">
      <formula>$A153&lt;&gt;"Serviço"</formula>
    </cfRule>
  </conditionalFormatting>
  <conditionalFormatting sqref="A153:B162">
    <cfRule type="expression" priority="8" dxfId="91" stopIfTrue="1">
      <formula>$A153="Meta"</formula>
    </cfRule>
    <cfRule type="expression" priority="9" dxfId="90" stopIfTrue="1">
      <formula>LEFT($A153,5)="Nível"</formula>
    </cfRule>
    <cfRule type="expression" priority="10" dxfId="84" stopIfTrue="1">
      <formula>$A153=0</formula>
    </cfRule>
  </conditionalFormatting>
  <conditionalFormatting sqref="U153:U162">
    <cfRule type="expression" priority="11" dxfId="85" stopIfTrue="1">
      <formula>$A153="Meta"</formula>
    </cfRule>
    <cfRule type="expression" priority="12" dxfId="84" stopIfTrue="1">
      <formula>OR(U$9=0,$A153&lt;&gt;"Serviço")</formula>
    </cfRule>
    <cfRule type="expression" priority="13" dxfId="4" stopIfTrue="1">
      <formula>TipoOrçamento="Licitado"</formula>
    </cfRule>
  </conditionalFormatting>
  <conditionalFormatting sqref="F153:O162">
    <cfRule type="expression" priority="1" dxfId="85" stopIfTrue="1">
      <formula>$A153="Meta"</formula>
    </cfRule>
    <cfRule type="expression" priority="2" dxfId="84" stopIfTrue="1">
      <formula>OR(F$9=0,$A153&lt;&gt;"Serviço")</formula>
    </cfRule>
    <cfRule type="expression" priority="3" dxfId="4" stopIfTrue="1">
      <formula>TipoOrçamento="Licitado"</formula>
    </cfRule>
  </conditionalFormatting>
  <dataValidations count="1">
    <dataValidation type="decimal" operator="greaterThanOrEqual" allowBlank="1" showInputMessage="1" showErrorMessage="1" error="Digite apenas números.&#10;&#10;preferencialmente com 02 casas de precisão." sqref="U11 F11:O11 F14:O166 U14:U166">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172 B169"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Plan6">
    <tabColor rgb="FFFFFF00"/>
    <outlinePr summaryBelow="0"/>
  </sheetPr>
  <dimension ref="A1:AC145"/>
  <sheetViews>
    <sheetView showGridLines="0" zoomScaleSheetLayoutView="100" zoomScalePageLayoutView="0" workbookViewId="0" topLeftCell="L133">
      <selection activeCell="L141" sqref="L1:W141"/>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75"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7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7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7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176</v>
      </c>
      <c r="B8" s="1"/>
      <c r="C8" s="1"/>
      <c r="D8" s="1"/>
      <c r="E8" s="1"/>
      <c r="F8" s="1"/>
      <c r="G8" s="1"/>
      <c r="H8" s="1"/>
      <c r="I8" s="1"/>
      <c r="J8" s="1"/>
      <c r="K8" s="1"/>
      <c r="L8" s="378" t="str">
        <f ca="1">IF(MAX($A$14:$A$136)&lt;&gt;MAX(PO!$V$12:$V$167),"ERRO: CRONOGRAMA DESATUALIZADO",IF(OR(COUNTIF($O$16:$X$16,"&gt;1")&gt;0,OFFSET($X$17,0,-1)&lt;&gt;$N$14),"ERRO: CRONOGRAMA NÃO FECHA EM 100%",""))</f>
        <v>ERRO: CRONOGRAMA NÃO FECHA EM 100%</v>
      </c>
      <c r="M8" s="378"/>
      <c r="N8" s="160">
        <f>IF(TipoOrçamento="REPROGRAMADOAC","Qtde de Medições realizadas","")</f>
      </c>
      <c r="O8" s="178"/>
      <c r="P8" s="179"/>
      <c r="Q8" s="1"/>
      <c r="R8" s="1"/>
      <c r="S8" s="1"/>
      <c r="T8" s="1"/>
      <c r="U8" s="1"/>
      <c r="V8" s="1"/>
      <c r="W8" s="1"/>
      <c r="X8" s="1"/>
      <c r="AC8" s="1"/>
    </row>
    <row r="9" spans="1:29" s="41" customFormat="1" ht="13.5"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01/03/24</v>
      </c>
      <c r="P10" s="219" t="str">
        <f>IF(AND(TipoOrçamento="REPROGRAMADOAC",$N$9&gt;0,N10="Valores Totais (R$)"),"Parcela "&amp;$N$9&amp;" Executado","Parcela "&amp;P$9&amp;CHAR(10)&amp;TEXT(DATE(YEAR(DADOS!$A$48),MONTH(DADOS!$A$48)+P$9-IF(AND(TipoOrçamento="REPROGRAMADOAC",$N$9&gt;0),$N$9,0),1),"mmm/aa"))</f>
        <v>Parcela 1
abr/24</v>
      </c>
      <c r="Q10" s="210" t="str">
        <f>IF(AND(TipoOrçamento="REPROGRAMADOAC",$N$9&gt;0,O10="Valores Totais (R$)"),"Parcela "&amp;$N$9&amp;" Executado","Parcela "&amp;Q$9&amp;CHAR(10)&amp;TEXT(DATE(YEAR(DADOS!$A$48),MONTH(DADOS!$A$48)+Q$9-IF(AND(TipoOrçamento="REPROGRAMADOAC",$N$9&gt;0),$N$9,0),1),"mmm/aa"))</f>
        <v>Parcela 2
mai/24</v>
      </c>
      <c r="R10" s="210" t="str">
        <f>IF(AND(TipoOrçamento="REPROGRAMADOAC",$N$9&gt;0,P10="Valores Totais (R$)"),"Parcela "&amp;$N$9&amp;" Executado","Parcela "&amp;R$9&amp;CHAR(10)&amp;TEXT(DATE(YEAR(DADOS!$A$48),MONTH(DADOS!$A$48)+R$9-IF(AND(TipoOrçamento="REPROGRAMADOAC",$N$9&gt;0),$N$9,0),1),"mmm/aa"))</f>
        <v>Parcela 3
jun/24</v>
      </c>
      <c r="S10" s="210" t="str">
        <f>IF(AND(TipoOrçamento="REPROGRAMADOAC",$N$9&gt;0,Q10="Valores Totais (R$)"),"Parcela "&amp;$N$9&amp;" Executado","Parcela "&amp;S$9&amp;CHAR(10)&amp;TEXT(DATE(YEAR(DADOS!$A$48),MONTH(DADOS!$A$48)+S$9-IF(AND(TipoOrçamento="REPROGRAMADOAC",$N$9&gt;0),$N$9,0),1),"mmm/aa"))</f>
        <v>Parcela 4
jul/24</v>
      </c>
      <c r="T10" s="210" t="str">
        <f>IF(AND(TipoOrçamento="REPROGRAMADOAC",$N$9&gt;0,R10="Valores Totais (R$)"),"Parcela "&amp;$N$9&amp;" Executado","Parcela "&amp;T$9&amp;CHAR(10)&amp;TEXT(DATE(YEAR(DADOS!$A$48),MONTH(DADOS!$A$48)+T$9-IF(AND(TipoOrçamento="REPROGRAMADOAC",$N$9&gt;0),$N$9,0),1),"mmm/aa"))</f>
        <v>Parcela 5
ago/24</v>
      </c>
      <c r="U10" s="210" t="str">
        <f>IF(AND(TipoOrçamento="REPROGRAMADOAC",$N$9&gt;0,S10="Valores Totais (R$)"),"Parcela "&amp;$N$9&amp;" Executado","Parcela "&amp;U$9&amp;CHAR(10)&amp;TEXT(DATE(YEAR(DADOS!$A$48),MONTH(DADOS!$A$48)+U$9-IF(AND(TipoOrçamento="REPROGRAMADOAC",$N$9&gt;0),$N$9,0),1),"mmm/aa"))</f>
        <v>Parcela 6
set/24</v>
      </c>
      <c r="V10" s="210" t="str">
        <f>IF(AND(TipoOrçamento="REPROGRAMADOAC",$N$9&gt;0,T10="Valores Totais (R$)"),"Parcela "&amp;$N$9&amp;" Executado","Parcela "&amp;V$9&amp;CHAR(10)&amp;TEXT(DATE(YEAR(DADOS!$A$48),MONTH(DADOS!$A$48)+V$9-IF(AND(TipoOrçamento="REPROGRAMADOAC",$N$9&gt;0),$N$9,0),1),"mmm/aa"))</f>
        <v>Parcela 7
out/24</v>
      </c>
      <c r="W10" s="222" t="str">
        <f>IF(AND(TipoOrçamento="REPROGRAMADOAC",$N$9&gt;0,U10="Valores Totais (R$)"),"Parcela "&amp;$N$9&amp;" Executado","Parcela "&amp;W$9&amp;CHAR(10)&amp;TEXT(DATE(YEAR(DADOS!$A$48),MONTH(DADOS!$A$48)+W$9-IF(AND(TipoOrçamento="REPROGRAMADOAC",$N$9&gt;0),$N$9,0),1),"mmm/aa"))</f>
        <v>Parcela 8
nov/24</v>
      </c>
      <c r="X10" s="195"/>
      <c r="AC10" s="210" t="str">
        <f>IF(AND(TipoOrçamento="REPROGRAMADOAC",$N$9&gt;0,AA10="Valores Totais (R$)"),"Parcela "&amp;$N$9&amp;" Executado","Parcela "&amp;AC$9&amp;CHAR(10)&amp;TEXT(DATE(YEAR(DADOS!$A$48),MONTH(DADOS!$A$48)+AC$9-IF(AND(TipoOrçamento="REPROGRAMADOAC",$N$9&gt;0),$N$9,0),1),"mmm/aa"))</f>
        <v>Parcela 1
abr/24</v>
      </c>
    </row>
    <row r="11" spans="1:29" ht="14.25" customHeight="1" hidden="1">
      <c r="A11" s="82"/>
      <c r="B11" s="82"/>
      <c r="C11" s="82"/>
      <c r="D11" s="82"/>
      <c r="E11" s="82"/>
      <c r="F11" s="82"/>
      <c r="G11" s="82"/>
      <c r="H11" s="82"/>
      <c r="I11" s="82"/>
      <c r="J11" s="82"/>
      <c r="K11" s="82"/>
      <c r="L11" s="372" t="e">
        <f>INDEX(PO!K$12:K$167,MATCH($A13,PO!$V$12:$V$167,0))</f>
        <v>#VALUE!</v>
      </c>
      <c r="M11" s="374" t="e">
        <f>INDEX(PO!N$12:N$167,MATCH($A13,PO!$V$12:$V$167,0))</f>
        <v>#VALUE!</v>
      </c>
      <c r="N11" s="376" t="e">
        <f>IF(ROUND(K13,2)=0,K13,ROUND(K13,2))</f>
        <v>#VALUE!</v>
      </c>
      <c r="O11" s="220" t="s">
        <v>143</v>
      </c>
      <c r="P11" s="226" t="e">
        <f>IF($B13,0,P12-IF(ISNUMBER(O12),O12,0))</f>
        <v>#VALUE!</v>
      </c>
      <c r="Q11" s="227" t="e">
        <f aca="true" t="shared" si="1" ref="Q11:W11">IF($B13,0,Q12-IF(ISNUMBER(P12),P12,0))</f>
        <v>#VALUE!</v>
      </c>
      <c r="R11" s="227" t="e">
        <f t="shared" si="1"/>
        <v>#VALUE!</v>
      </c>
      <c r="S11" s="227" t="e">
        <f t="shared" si="1"/>
        <v>#VALUE!</v>
      </c>
      <c r="T11" s="227" t="e">
        <f t="shared" si="1"/>
        <v>#VALUE!</v>
      </c>
      <c r="U11" s="227" t="e">
        <f t="shared" si="1"/>
        <v>#VALUE!</v>
      </c>
      <c r="V11" s="227" t="e">
        <f t="shared" si="1"/>
        <v>#VALUE!</v>
      </c>
      <c r="W11" s="228" t="e">
        <f t="shared" si="1"/>
        <v>#VALUE!</v>
      </c>
      <c r="X11" s="196"/>
      <c r="AC11" s="221" t="e">
        <f>IF($B13,0,AC12-IF(ISNUMBER(AB12),AB12,0))</f>
        <v>#VALUE!</v>
      </c>
    </row>
    <row r="12" spans="1:29" ht="14.25" hidden="1">
      <c r="A12" s="184"/>
      <c r="B12" s="184"/>
      <c r="C12" s="184"/>
      <c r="D12" s="184"/>
      <c r="E12" s="184"/>
      <c r="F12" s="184"/>
      <c r="G12" s="184"/>
      <c r="H12" s="184"/>
      <c r="I12" s="184"/>
      <c r="J12" s="184"/>
      <c r="K12" s="184"/>
      <c r="L12" s="373"/>
      <c r="M12" s="375"/>
      <c r="N12" s="377"/>
      <c r="O12" s="170" t="s">
        <v>145</v>
      </c>
      <c r="P12" s="198" t="e">
        <f>MIN(IF($B13,P11+IF(ISNUMBER(O12),O12,0),P13/$N11),1)</f>
        <v>#VALUE!</v>
      </c>
      <c r="Q12" s="168" t="e">
        <f aca="true" t="shared" si="2" ref="Q12:W12">MIN(IF($B13,Q11+IF(ISNUMBER(P12),P12,0),Q13/$N11),1)</f>
        <v>#VALUE!</v>
      </c>
      <c r="R12" s="168" t="e">
        <f t="shared" si="2"/>
        <v>#VALUE!</v>
      </c>
      <c r="S12" s="168" t="e">
        <f t="shared" si="2"/>
        <v>#VALUE!</v>
      </c>
      <c r="T12" s="168" t="e">
        <f t="shared" si="2"/>
        <v>#VALUE!</v>
      </c>
      <c r="U12" s="168" t="e">
        <f t="shared" si="2"/>
        <v>#VALUE!</v>
      </c>
      <c r="V12" s="168" t="e">
        <f t="shared" si="2"/>
        <v>#VALUE!</v>
      </c>
      <c r="W12" s="168" t="e">
        <f t="shared" si="2"/>
        <v>#VALUE!</v>
      </c>
      <c r="X12" s="196"/>
      <c r="AC12" s="168" t="e">
        <f>MIN(IF($B13,AC11+IF(ISNUMBER(AB12),AB12,0),AC13/$N11),1)</f>
        <v>#VALUE!</v>
      </c>
    </row>
    <row r="13" spans="1:29" ht="14.25" hidden="1">
      <c r="A13" s="184" t="e">
        <f ca="1">OFFSET(A13,-CFF.NumLinha,0)+1</f>
        <v>#VALUE!</v>
      </c>
      <c r="B13" s="184" t="e">
        <f ca="1">$C13&gt;=OFFSET($C13,CFF.NumLinha,0)</f>
        <v>#VALUE!</v>
      </c>
      <c r="C13" s="184" t="e">
        <f>INDEX(PO!A$12:A$167,MATCH($A13,PO!$V$12:$V$167,0))</f>
        <v>#VALUE!</v>
      </c>
      <c r="D13" s="184" t="e">
        <f>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MATCH(0,OFFSET($D13,1,$C13,ROW($A$135)-ROW($A13)),0)</f>
        <v>#VALUE!</v>
      </c>
      <c r="J13" s="184" t="e">
        <f ca="1">MATCH(OFFSET($D13,0,$C13)+1,OFFSET($D13,1,$C13,ROW($A$135)-ROW($A13)),0)</f>
        <v>#VALUE!</v>
      </c>
      <c r="K13" s="185" t="e">
        <f>ROUND(INDEX(PO!T$12:T$167,MATCH($A13,PO!$V$12:$V$167,0)),2)+10^-12</f>
        <v>#VALUE!</v>
      </c>
      <c r="L13" s="373"/>
      <c r="M13" s="375"/>
      <c r="N13" s="377"/>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84" t="s">
        <v>19</v>
      </c>
      <c r="M14" s="385"/>
      <c r="N14" s="390">
        <f>IF(PO!$T$12=0,10^-12,PO!$T$12)</f>
        <v>1E-12</v>
      </c>
      <c r="O14" s="167" t="s">
        <v>143</v>
      </c>
      <c r="P14" s="205">
        <f>ROUND(P15/$N14,4)</f>
        <v>0</v>
      </c>
      <c r="Q14" s="206">
        <f aca="true" t="shared" si="4" ref="Q14:W14">ROUND(Q15/$N14,4)</f>
        <v>0</v>
      </c>
      <c r="R14" s="206">
        <f t="shared" si="4"/>
        <v>0</v>
      </c>
      <c r="S14" s="206">
        <f t="shared" si="4"/>
        <v>0</v>
      </c>
      <c r="T14" s="206">
        <f t="shared" si="4"/>
        <v>0</v>
      </c>
      <c r="U14" s="206">
        <f t="shared" si="4"/>
        <v>0</v>
      </c>
      <c r="V14" s="206">
        <f t="shared" si="4"/>
        <v>0</v>
      </c>
      <c r="W14" s="206">
        <f t="shared" si="4"/>
        <v>0</v>
      </c>
      <c r="X14" s="171"/>
      <c r="AC14" s="206">
        <f>ROUND(AC15/$N14,4)</f>
        <v>0</v>
      </c>
    </row>
    <row r="15" spans="1:29" s="44" customFormat="1" ht="12.75" customHeight="1">
      <c r="A15" s="1"/>
      <c r="B15" s="1"/>
      <c r="C15" s="1"/>
      <c r="D15" s="1"/>
      <c r="E15" s="1"/>
      <c r="F15" s="1"/>
      <c r="G15" s="1"/>
      <c r="H15" s="1"/>
      <c r="I15" s="1"/>
      <c r="J15" s="1"/>
      <c r="K15" s="1"/>
      <c r="L15" s="386"/>
      <c r="M15" s="387"/>
      <c r="N15" s="391"/>
      <c r="O15" s="156" t="s">
        <v>144</v>
      </c>
      <c r="P15" s="200">
        <f>P17-IF(ISNUMBER(O17),O17,0)</f>
        <v>0</v>
      </c>
      <c r="Q15" s="150">
        <f aca="true" t="shared" si="5" ref="Q15:W15">Q17-IF(ISNUMBER(P17),P17,0)</f>
        <v>0</v>
      </c>
      <c r="R15" s="150">
        <f t="shared" si="5"/>
        <v>0</v>
      </c>
      <c r="S15" s="150">
        <f t="shared" si="5"/>
        <v>0</v>
      </c>
      <c r="T15" s="150">
        <f t="shared" si="5"/>
        <v>0</v>
      </c>
      <c r="U15" s="150">
        <f t="shared" si="5"/>
        <v>0</v>
      </c>
      <c r="V15" s="150">
        <f t="shared" si="5"/>
        <v>0</v>
      </c>
      <c r="W15" s="150">
        <f t="shared" si="5"/>
        <v>0</v>
      </c>
      <c r="X15" s="171"/>
      <c r="AC15" s="150">
        <f>AC17-IF(ISNUMBER(AB17),AB17,0)</f>
        <v>0</v>
      </c>
    </row>
    <row r="16" spans="1:29" s="44" customFormat="1" ht="12.75" customHeight="1">
      <c r="A16" s="1"/>
      <c r="B16" s="1"/>
      <c r="C16" s="1"/>
      <c r="D16" s="1"/>
      <c r="E16" s="1"/>
      <c r="F16" s="1"/>
      <c r="G16" s="1"/>
      <c r="H16" s="1"/>
      <c r="I16" s="1"/>
      <c r="J16" s="1"/>
      <c r="K16" s="1"/>
      <c r="L16" s="386"/>
      <c r="M16" s="387"/>
      <c r="N16" s="391"/>
      <c r="O16" s="157" t="s">
        <v>145</v>
      </c>
      <c r="P16" s="201">
        <f>ROUND(P17/$N14,4)</f>
        <v>0</v>
      </c>
      <c r="Q16" s="151">
        <f aca="true" t="shared" si="6" ref="Q16:W16">ROUND(Q17/$N14,4)</f>
        <v>0</v>
      </c>
      <c r="R16" s="151">
        <f t="shared" si="6"/>
        <v>0</v>
      </c>
      <c r="S16" s="151">
        <f t="shared" si="6"/>
        <v>0</v>
      </c>
      <c r="T16" s="151">
        <f t="shared" si="6"/>
        <v>0</v>
      </c>
      <c r="U16" s="151">
        <f t="shared" si="6"/>
        <v>0</v>
      </c>
      <c r="V16" s="151">
        <f t="shared" si="6"/>
        <v>0</v>
      </c>
      <c r="W16" s="151">
        <f t="shared" si="6"/>
        <v>0</v>
      </c>
      <c r="X16" s="171"/>
      <c r="AC16" s="151">
        <f>ROUND(AC17/$N14,4)</f>
        <v>0</v>
      </c>
    </row>
    <row r="17" spans="1:29" s="44" customFormat="1" ht="12.75" customHeight="1">
      <c r="A17" s="114">
        <v>0</v>
      </c>
      <c r="B17" s="1"/>
      <c r="C17" s="1"/>
      <c r="D17" s="114">
        <f>ROW(D$135)-ROW(D18)</f>
        <v>117</v>
      </c>
      <c r="E17" s="1"/>
      <c r="F17" s="1"/>
      <c r="G17" s="1"/>
      <c r="H17" s="1"/>
      <c r="I17" s="1"/>
      <c r="J17" s="1"/>
      <c r="K17" s="1"/>
      <c r="L17" s="388"/>
      <c r="M17" s="389"/>
      <c r="N17" s="392"/>
      <c r="O17" s="158" t="s">
        <v>20</v>
      </c>
      <c r="P17" s="202">
        <f ca="1">SUMIF(OFFSET($C17,1,0):$C$135,1,OFFSET(P17,1,0):P$135)</f>
        <v>0</v>
      </c>
      <c r="Q17" s="152">
        <f ca="1">SUMIF(OFFSET($C17,1,0):$C$135,1,OFFSET(Q17,1,0):Q$135)</f>
        <v>0</v>
      </c>
      <c r="R17" s="152">
        <f ca="1">SUMIF(OFFSET($C17,1,0):$C$135,1,OFFSET(R17,1,0):R$135)</f>
        <v>0</v>
      </c>
      <c r="S17" s="152">
        <f ca="1">SUMIF(OFFSET($C17,1,0):$C$135,1,OFFSET(S17,1,0):S$135)</f>
        <v>0</v>
      </c>
      <c r="T17" s="152">
        <f ca="1">SUMIF(OFFSET($C17,1,0):$C$135,1,OFFSET(T17,1,0):T$135)</f>
        <v>0</v>
      </c>
      <c r="U17" s="152">
        <f ca="1">SUMIF(OFFSET($C17,1,0):$C$135,1,OFFSET(U17,1,0):U$135)</f>
        <v>0</v>
      </c>
      <c r="V17" s="152">
        <f ca="1">SUMIF(OFFSET($C17,1,0):$C$135,1,OFFSET(V17,1,0):V$135)</f>
        <v>0</v>
      </c>
      <c r="W17" s="152">
        <f ca="1">SUMIF(OFFSET($C17,1,0):$C$135,1,OFFSET(W17,1,0):W$135)</f>
        <v>0</v>
      </c>
      <c r="X17" s="171"/>
      <c r="AC17" s="152">
        <f ca="1">SUMIF(OFFSET($C17,1,0):$C$135,1,OFFSET(AC17,1,0):AC$135)</f>
        <v>0</v>
      </c>
    </row>
    <row r="18" spans="1:29" ht="14.25" customHeight="1">
      <c r="A18" s="1"/>
      <c r="B18" s="1"/>
      <c r="C18" s="1"/>
      <c r="D18" s="1"/>
      <c r="E18" s="1"/>
      <c r="F18" s="1"/>
      <c r="G18" s="1"/>
      <c r="H18" s="1"/>
      <c r="I18" s="1"/>
      <c r="J18" s="1"/>
      <c r="K18" s="1"/>
      <c r="L18" s="372" t="str">
        <f>INDEX(PO!K$12:K$167,MATCH($A20,PO!$V$12:$V$167,0))</f>
        <v>1.</v>
      </c>
      <c r="M18" s="374" t="str">
        <f>INDEX(PO!N$12:N$167,MATCH($A20,PO!$V$12:$V$167,0))</f>
        <v>DEMOLIÇÕES E REMOÇÕES EM GERAL </v>
      </c>
      <c r="N18" s="376">
        <f>IF(ROUND(K20,2)=0,K20,ROUND(K20,2))</f>
        <v>1E-12</v>
      </c>
      <c r="O18" s="203" t="s">
        <v>143</v>
      </c>
      <c r="P18" s="226">
        <f aca="true" t="shared" si="7" ref="P18:W18">IF($B20,0,P19-IF(ISNUMBER(O19),O19,0))</f>
        <v>0</v>
      </c>
      <c r="Q18" s="227">
        <f t="shared" si="7"/>
        <v>0</v>
      </c>
      <c r="R18" s="227">
        <f t="shared" si="7"/>
        <v>0</v>
      </c>
      <c r="S18" s="227">
        <f t="shared" si="7"/>
        <v>0</v>
      </c>
      <c r="T18" s="227">
        <f t="shared" si="7"/>
        <v>0</v>
      </c>
      <c r="U18" s="227">
        <f t="shared" si="7"/>
        <v>0</v>
      </c>
      <c r="V18" s="227">
        <f t="shared" si="7"/>
        <v>0</v>
      </c>
      <c r="W18" s="228">
        <f t="shared" si="7"/>
        <v>0</v>
      </c>
      <c r="X18" s="197" t="s">
        <v>106</v>
      </c>
      <c r="AC18" s="221">
        <f>IF($B20,0,AC19-IF(ISNUMBER(AB19),AB19,0))</f>
        <v>0</v>
      </c>
    </row>
    <row r="19" spans="1:29" ht="14.25">
      <c r="A19" s="1"/>
      <c r="B19" s="1"/>
      <c r="C19" s="1"/>
      <c r="D19" s="1"/>
      <c r="E19" s="1"/>
      <c r="F19" s="1"/>
      <c r="G19" s="1"/>
      <c r="H19" s="1"/>
      <c r="I19" s="1"/>
      <c r="J19" s="1"/>
      <c r="K19" s="1"/>
      <c r="L19" s="373"/>
      <c r="M19" s="375"/>
      <c r="N19" s="377"/>
      <c r="O19" s="170" t="s">
        <v>145</v>
      </c>
      <c r="P19" s="198">
        <f aca="true" t="shared" si="8" ref="P19:W19">MIN(IF($B20,P18+IF(ISNUMBER(O19),O19,0),P20/$N18),1)</f>
        <v>0</v>
      </c>
      <c r="Q19" s="168">
        <f t="shared" si="8"/>
        <v>0</v>
      </c>
      <c r="R19" s="168">
        <f t="shared" si="8"/>
        <v>0</v>
      </c>
      <c r="S19" s="168">
        <f t="shared" si="8"/>
        <v>0</v>
      </c>
      <c r="T19" s="168">
        <f t="shared" si="8"/>
        <v>0</v>
      </c>
      <c r="U19" s="168">
        <f t="shared" si="8"/>
        <v>0</v>
      </c>
      <c r="V19" s="168">
        <f t="shared" si="8"/>
        <v>0</v>
      </c>
      <c r="W19" s="168">
        <f t="shared" si="8"/>
        <v>0</v>
      </c>
      <c r="X19" s="196"/>
      <c r="AC19" s="168">
        <f>MIN(IF($B20,AC18+IF(ISNUMBER(AB19),AB19,0),AC20/$N18),1)</f>
        <v>0</v>
      </c>
    </row>
    <row r="20" spans="1:29" ht="14.25">
      <c r="A20" s="114">
        <f ca="1">OFFSET(A20,-CFF.NumLinha,0)+1</f>
        <v>1</v>
      </c>
      <c r="B20" s="1" t="b">
        <f ca="1">$C20&gt;=OFFSET($C20,CFF.NumLinha,0)</f>
        <v>0</v>
      </c>
      <c r="C20" s="184">
        <f>INDEX(PO!A$12:A$167,MATCH($A20,PO!$V$12:$V$167,0))</f>
        <v>1</v>
      </c>
      <c r="D20" s="184">
        <f>IF(ISERROR(J20),I20,SMALL(I20:J20,1))-1</f>
        <v>8</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MATCH(0,OFFSET($D20,1,$C20,ROW($A$135)-ROW($A20)),0)</f>
        <v>115</v>
      </c>
      <c r="J20" s="184">
        <f ca="1">MATCH(OFFSET($D20,0,$C20)+1,OFFSET($D20,1,$C20,ROW($A$135)-ROW($A20)),0)</f>
        <v>9</v>
      </c>
      <c r="K20" s="185">
        <f>ROUND(INDEX(PO!T$12:T$167,MATCH($A20,PO!$V$12:$V$167,0)),2)+10^-12</f>
        <v>1E-12</v>
      </c>
      <c r="L20" s="373"/>
      <c r="M20" s="375"/>
      <c r="N20" s="377"/>
      <c r="O20" s="204" t="s">
        <v>20</v>
      </c>
      <c r="P20" s="199">
        <f aca="true" ca="1" t="shared" si="9" ref="P20:W20">IF($B20,ROUND(P19*$N18,2),ROUND(SUMIF(OFFSET($B20,1,0,$D20),TRUE,OFFSET(P20,1,0,$D20))/SUMIF(OFFSET($B20,1,0,$D20),TRUE,OFFSET($K20,1,0,$D20))*$N18,2))</f>
        <v>0</v>
      </c>
      <c r="Q20" s="169">
        <f ca="1" t="shared" si="9"/>
        <v>0</v>
      </c>
      <c r="R20" s="169">
        <f ca="1" t="shared" si="9"/>
        <v>0</v>
      </c>
      <c r="S20" s="169">
        <f ca="1" t="shared" si="9"/>
        <v>0</v>
      </c>
      <c r="T20" s="169">
        <f ca="1" t="shared" si="9"/>
        <v>0</v>
      </c>
      <c r="U20" s="169">
        <f ca="1" t="shared" si="9"/>
        <v>0</v>
      </c>
      <c r="V20" s="169">
        <f ca="1" t="shared" si="9"/>
        <v>0</v>
      </c>
      <c r="W20" s="207">
        <f ca="1" t="shared" si="9"/>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72" t="str">
        <f>INDEX(PO!K$12:K$167,MATCH($A23,PO!$V$12:$V$167,0))</f>
        <v>1.1.</v>
      </c>
      <c r="M21" s="374" t="str">
        <f>INDEX(PO!N$12:N$167,MATCH($A23,PO!$V$12:$V$167,0))</f>
        <v>DEMOLIÇÕES  </v>
      </c>
      <c r="N21" s="376">
        <f>IF(ROUND(K23,2)=0,K23,ROUND(K23,2))</f>
        <v>1E-12</v>
      </c>
      <c r="O21" s="220" t="s">
        <v>143</v>
      </c>
      <c r="P21" s="226">
        <v>1</v>
      </c>
      <c r="Q21" s="227">
        <f aca="true" t="shared" si="10" ref="Q21:W21">IF($B23,0,Q22-IF(ISNUMBER(P22),P22,0))</f>
        <v>0</v>
      </c>
      <c r="R21" s="227">
        <f t="shared" si="10"/>
        <v>0</v>
      </c>
      <c r="S21" s="227">
        <f t="shared" si="10"/>
        <v>0</v>
      </c>
      <c r="T21" s="227">
        <f t="shared" si="10"/>
        <v>0</v>
      </c>
      <c r="U21" s="227">
        <f t="shared" si="10"/>
        <v>0</v>
      </c>
      <c r="V21" s="227">
        <f t="shared" si="10"/>
        <v>0</v>
      </c>
      <c r="W21" s="228">
        <f t="shared" si="10"/>
        <v>0</v>
      </c>
      <c r="X21" s="196"/>
      <c r="AC21" s="221">
        <f>IF($B23,0,AC22-IF(ISNUMBER(AB22),AB22,0))</f>
        <v>0</v>
      </c>
    </row>
    <row r="22" spans="1:29" ht="14.25">
      <c r="A22" s="184"/>
      <c r="B22" s="184"/>
      <c r="C22" s="184"/>
      <c r="D22" s="184"/>
      <c r="E22" s="184"/>
      <c r="F22" s="184"/>
      <c r="G22" s="184"/>
      <c r="H22" s="184"/>
      <c r="I22" s="184"/>
      <c r="J22" s="184"/>
      <c r="K22" s="184"/>
      <c r="L22" s="373"/>
      <c r="M22" s="375"/>
      <c r="N22" s="377"/>
      <c r="O22" s="170" t="s">
        <v>145</v>
      </c>
      <c r="P22" s="198">
        <f aca="true" t="shared" si="11" ref="P22:W22">MIN(IF($B23,P21+IF(ISNUMBER(O22),O22,0),P23/$N21),1)</f>
        <v>1</v>
      </c>
      <c r="Q22" s="168">
        <f t="shared" si="11"/>
        <v>1</v>
      </c>
      <c r="R22" s="168">
        <f t="shared" si="11"/>
        <v>1</v>
      </c>
      <c r="S22" s="168">
        <f t="shared" si="11"/>
        <v>1</v>
      </c>
      <c r="T22" s="168">
        <f t="shared" si="11"/>
        <v>1</v>
      </c>
      <c r="U22" s="168">
        <f t="shared" si="11"/>
        <v>1</v>
      </c>
      <c r="V22" s="168">
        <f t="shared" si="11"/>
        <v>1</v>
      </c>
      <c r="W22" s="168">
        <f t="shared" si="11"/>
        <v>1</v>
      </c>
      <c r="X22" s="196"/>
      <c r="AC22" s="168">
        <f>MIN(IF($B23,AC21+IF(ISNUMBER(AB22),AB22,0),AC23/$N21),1)</f>
        <v>0</v>
      </c>
    </row>
    <row r="23" spans="1:29" ht="14.25">
      <c r="A23" s="184">
        <f ca="1">OFFSET(A23,-CFF.NumLinha,0)+1</f>
        <v>2</v>
      </c>
      <c r="B23" s="184" t="b">
        <f ca="1">$C23&gt;=OFFSET($C23,CFF.NumLinha,0)</f>
        <v>1</v>
      </c>
      <c r="C23" s="184">
        <f>INDEX(PO!A$12:A$167,MATCH($A23,PO!$V$12:$V$167,0))</f>
        <v>2</v>
      </c>
      <c r="D23" s="184">
        <f>IF(ISERROR(J23),I23,SMALL(I23:J23,1))-1</f>
        <v>2</v>
      </c>
      <c r="E23" s="184">
        <f ca="1">IF($C23=1,OFFSET(E23,-CFF.NumLinha,0)+1,OFFSET(E23,-CFF.NumLinha,0))</f>
        <v>1</v>
      </c>
      <c r="F23" s="184">
        <f ca="1">IF($C23=1,0,IF($C23=2,OFFSET(F23,-CFF.NumLinha,0)+1,OFFSET(F23,-CFF.NumLinha,0)))</f>
        <v>1</v>
      </c>
      <c r="G23" s="184">
        <f ca="1">IF(AND($C23&lt;=2,$C23&lt;&gt;0),0,IF($C23=3,OFFSET(G23,-CFF.NumLinha,0)+1,OFFSET(G23,-CFF.NumLinha,0)))</f>
        <v>0</v>
      </c>
      <c r="H23" s="184">
        <f ca="1">IF(AND($C23&lt;=3,$C23&lt;&gt;0),0,IF($C23=4,OFFSET(H23,-CFF.NumLinha,0)+1,OFFSET(H23,-CFF.NumLinha,0)))</f>
        <v>0</v>
      </c>
      <c r="I23" s="184">
        <f ca="1">MATCH(0,OFFSET($D23,1,$C23,ROW($A$135)-ROW($A23)),0)</f>
        <v>6</v>
      </c>
      <c r="J23" s="184">
        <f ca="1">MATCH(OFFSET($D23,0,$C23)+1,OFFSET($D23,1,$C23,ROW($A$135)-ROW($A23)),0)</f>
        <v>3</v>
      </c>
      <c r="K23" s="185">
        <f>ROUND(INDEX(PO!T$12:T$167,MATCH($A23,PO!$V$12:$V$167,0)),2)+10^-12</f>
        <v>1E-12</v>
      </c>
      <c r="L23" s="373"/>
      <c r="M23" s="375"/>
      <c r="N23" s="377"/>
      <c r="O23" s="204" t="s">
        <v>20</v>
      </c>
      <c r="P23" s="199">
        <f aca="true" ca="1" t="shared" si="12" ref="P23:W23">IF($B23,ROUND(P22*$N21,2),ROUND(SUMIF(OFFSET($B23,1,0,$D23),TRUE,OFFSET(P23,1,0,$D23))/SUMIF(OFFSET($B23,1,0,$D23),TRUE,OFFSET($K23,1,0,$D23))*$N21,2))</f>
        <v>0</v>
      </c>
      <c r="Q23" s="169">
        <f ca="1" t="shared" si="12"/>
        <v>0</v>
      </c>
      <c r="R23" s="169">
        <f ca="1" t="shared" si="12"/>
        <v>0</v>
      </c>
      <c r="S23" s="169">
        <f ca="1" t="shared" si="12"/>
        <v>0</v>
      </c>
      <c r="T23" s="169">
        <f ca="1" t="shared" si="12"/>
        <v>0</v>
      </c>
      <c r="U23" s="169">
        <f ca="1" t="shared" si="12"/>
        <v>0</v>
      </c>
      <c r="V23" s="169">
        <f ca="1" t="shared" si="12"/>
        <v>0</v>
      </c>
      <c r="W23" s="207">
        <f ca="1" t="shared" si="12"/>
        <v>0</v>
      </c>
      <c r="X23" s="196"/>
      <c r="AC23" s="169">
        <f ca="1">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72" t="str">
        <f>INDEX(PO!K$12:K$167,MATCH($A26,PO!$V$12:$V$167,0))</f>
        <v>1.2.</v>
      </c>
      <c r="M24" s="374" t="str">
        <f>INDEX(PO!N$12:N$167,MATCH($A26,PO!$V$12:$V$167,0))</f>
        <v>REMOÇÕES </v>
      </c>
      <c r="N24" s="376">
        <f>IF(ROUND(K26,2)=0,K26,ROUND(K26,2))</f>
        <v>1E-12</v>
      </c>
      <c r="O24" s="220" t="s">
        <v>143</v>
      </c>
      <c r="P24" s="226">
        <v>1</v>
      </c>
      <c r="Q24" s="227">
        <f aca="true" t="shared" si="13" ref="Q24:W24">IF($B26,0,Q25-IF(ISNUMBER(P25),P25,0))</f>
        <v>0</v>
      </c>
      <c r="R24" s="227">
        <f t="shared" si="13"/>
        <v>0</v>
      </c>
      <c r="S24" s="227">
        <f t="shared" si="13"/>
        <v>0</v>
      </c>
      <c r="T24" s="227">
        <f t="shared" si="13"/>
        <v>0</v>
      </c>
      <c r="U24" s="227">
        <f t="shared" si="13"/>
        <v>0</v>
      </c>
      <c r="V24" s="227">
        <f t="shared" si="13"/>
        <v>0</v>
      </c>
      <c r="W24" s="228">
        <f t="shared" si="13"/>
        <v>0</v>
      </c>
      <c r="X24" s="196"/>
      <c r="AC24" s="221">
        <f>IF($B26,0,AC25-IF(ISNUMBER(AB25),AB25,0))</f>
        <v>0</v>
      </c>
    </row>
    <row r="25" spans="1:29" ht="14.25">
      <c r="A25" s="184"/>
      <c r="B25" s="184"/>
      <c r="C25" s="184"/>
      <c r="D25" s="184"/>
      <c r="E25" s="184"/>
      <c r="F25" s="184"/>
      <c r="G25" s="184"/>
      <c r="H25" s="184"/>
      <c r="I25" s="184"/>
      <c r="J25" s="184"/>
      <c r="K25" s="184"/>
      <c r="L25" s="373"/>
      <c r="M25" s="375"/>
      <c r="N25" s="377"/>
      <c r="O25" s="170" t="s">
        <v>145</v>
      </c>
      <c r="P25" s="198">
        <f aca="true" t="shared" si="14" ref="P25:W25">MIN(IF($B26,P24+IF(ISNUMBER(O25),O25,0),P26/$N24),1)</f>
        <v>1</v>
      </c>
      <c r="Q25" s="168">
        <f t="shared" si="14"/>
        <v>1</v>
      </c>
      <c r="R25" s="168">
        <f t="shared" si="14"/>
        <v>1</v>
      </c>
      <c r="S25" s="168">
        <f t="shared" si="14"/>
        <v>1</v>
      </c>
      <c r="T25" s="168">
        <f t="shared" si="14"/>
        <v>1</v>
      </c>
      <c r="U25" s="168">
        <f t="shared" si="14"/>
        <v>1</v>
      </c>
      <c r="V25" s="168">
        <f t="shared" si="14"/>
        <v>1</v>
      </c>
      <c r="W25" s="168">
        <f t="shared" si="14"/>
        <v>1</v>
      </c>
      <c r="X25" s="196"/>
      <c r="AC25" s="168">
        <f>MIN(IF($B26,AC24+IF(ISNUMBER(AB25),AB25,0),AC26/$N24),1)</f>
        <v>0</v>
      </c>
    </row>
    <row r="26" spans="1:29" ht="14.25">
      <c r="A26" s="184">
        <f ca="1">OFFSET(A26,-CFF.NumLinha,0)+1</f>
        <v>3</v>
      </c>
      <c r="B26" s="184" t="b">
        <f ca="1">$C26&gt;=OFFSET($C26,CFF.NumLinha,0)</f>
        <v>1</v>
      </c>
      <c r="C26" s="184">
        <f>INDEX(PO!A$12:A$167,MATCH($A26,PO!$V$12:$V$167,0))</f>
        <v>2</v>
      </c>
      <c r="D26" s="184">
        <f>IF(ISERROR(J26),I26,SMALL(I26:J26,1))-1</f>
        <v>2</v>
      </c>
      <c r="E26" s="184">
        <f ca="1">IF($C26=1,OFFSET(E26,-CFF.NumLinha,0)+1,OFFSET(E26,-CFF.NumLinha,0))</f>
        <v>1</v>
      </c>
      <c r="F26" s="184">
        <f ca="1">IF($C26=1,0,IF($C26=2,OFFSET(F26,-CFF.NumLinha,0)+1,OFFSET(F26,-CFF.NumLinha,0)))</f>
        <v>2</v>
      </c>
      <c r="G26" s="184">
        <f ca="1">IF(AND($C26&lt;=2,$C26&lt;&gt;0),0,IF($C26=3,OFFSET(G26,-CFF.NumLinha,0)+1,OFFSET(G26,-CFF.NumLinha,0)))</f>
        <v>0</v>
      </c>
      <c r="H26" s="184">
        <f ca="1">IF(AND($C26&lt;=3,$C26&lt;&gt;0),0,IF($C26=4,OFFSET(H26,-CFF.NumLinha,0)+1,OFFSET(H26,-CFF.NumLinha,0)))</f>
        <v>0</v>
      </c>
      <c r="I26" s="184">
        <f ca="1">MATCH(0,OFFSET($D26,1,$C26,ROW($A$135)-ROW($A26)),0)</f>
        <v>3</v>
      </c>
      <c r="J26" s="184">
        <f ca="1">MATCH(OFFSET($D26,0,$C26)+1,OFFSET($D26,1,$C26,ROW($A$135)-ROW($A26)),0)</f>
        <v>12</v>
      </c>
      <c r="K26" s="185">
        <f>ROUND(INDEX(PO!T$12:T$167,MATCH($A26,PO!$V$12:$V$167,0)),2)+10^-12</f>
        <v>1E-12</v>
      </c>
      <c r="L26" s="373"/>
      <c r="M26" s="375"/>
      <c r="N26" s="377"/>
      <c r="O26" s="204" t="s">
        <v>20</v>
      </c>
      <c r="P26" s="199">
        <f aca="true" ca="1" t="shared" si="15" ref="P26:W26">IF($B26,ROUND(P25*$N24,2),ROUND(SUMIF(OFFSET($B26,1,0,$D26),TRUE,OFFSET(P26,1,0,$D26))/SUMIF(OFFSET($B26,1,0,$D26),TRUE,OFFSET($K26,1,0,$D26))*$N24,2))</f>
        <v>0</v>
      </c>
      <c r="Q26" s="169">
        <f ca="1" t="shared" si="15"/>
        <v>0</v>
      </c>
      <c r="R26" s="169">
        <f ca="1" t="shared" si="15"/>
        <v>0</v>
      </c>
      <c r="S26" s="169">
        <f ca="1" t="shared" si="15"/>
        <v>0</v>
      </c>
      <c r="T26" s="169">
        <f ca="1" t="shared" si="15"/>
        <v>0</v>
      </c>
      <c r="U26" s="169">
        <f ca="1" t="shared" si="15"/>
        <v>0</v>
      </c>
      <c r="V26" s="169">
        <f ca="1" t="shared" si="15"/>
        <v>0</v>
      </c>
      <c r="W26" s="207">
        <f ca="1" t="shared" si="15"/>
        <v>0</v>
      </c>
      <c r="X26" s="196"/>
      <c r="AC26" s="169">
        <f ca="1">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72" t="str">
        <f>INDEX(PO!K$12:K$167,MATCH($A29,PO!$V$12:$V$167,0))</f>
        <v>2.</v>
      </c>
      <c r="M27" s="374" t="str">
        <f>INDEX(PO!N$12:N$167,MATCH($A29,PO!$V$12:$V$167,0))</f>
        <v> ESTRUTURA DO ELEVADOR</v>
      </c>
      <c r="N27" s="376">
        <f>IF(ROUND(K29,2)=0,K29,ROUND(K29,2))</f>
        <v>1E-12</v>
      </c>
      <c r="O27" s="220" t="s">
        <v>143</v>
      </c>
      <c r="P27" s="226">
        <f aca="true" t="shared" si="16" ref="P27:W27">IF($B29,0,P28-IF(ISNUMBER(O28),O28,0))</f>
        <v>0</v>
      </c>
      <c r="Q27" s="227">
        <f t="shared" si="16"/>
        <v>0</v>
      </c>
      <c r="R27" s="227">
        <f t="shared" si="16"/>
        <v>0</v>
      </c>
      <c r="S27" s="227">
        <f t="shared" si="16"/>
        <v>0</v>
      </c>
      <c r="T27" s="227">
        <f t="shared" si="16"/>
        <v>0</v>
      </c>
      <c r="U27" s="227">
        <f t="shared" si="16"/>
        <v>0</v>
      </c>
      <c r="V27" s="227">
        <f t="shared" si="16"/>
        <v>0</v>
      </c>
      <c r="W27" s="228">
        <f t="shared" si="16"/>
        <v>0</v>
      </c>
      <c r="X27" s="196"/>
      <c r="AC27" s="221">
        <f>IF($B29,0,AC28-IF(ISNUMBER(AB28),AB28,0))</f>
        <v>0</v>
      </c>
    </row>
    <row r="28" spans="1:29" ht="14.25">
      <c r="A28" s="184"/>
      <c r="B28" s="184"/>
      <c r="C28" s="184"/>
      <c r="D28" s="184"/>
      <c r="E28" s="184"/>
      <c r="F28" s="184"/>
      <c r="G28" s="184"/>
      <c r="H28" s="184"/>
      <c r="I28" s="184"/>
      <c r="J28" s="184"/>
      <c r="K28" s="184"/>
      <c r="L28" s="373"/>
      <c r="M28" s="375"/>
      <c r="N28" s="377"/>
      <c r="O28" s="170" t="s">
        <v>145</v>
      </c>
      <c r="P28" s="198">
        <f aca="true" t="shared" si="17" ref="P28:W28">MIN(IF($B29,P27+IF(ISNUMBER(O28),O28,0),P29/$N27),1)</f>
        <v>0</v>
      </c>
      <c r="Q28" s="168">
        <f t="shared" si="17"/>
        <v>0</v>
      </c>
      <c r="R28" s="168">
        <f t="shared" si="17"/>
        <v>0</v>
      </c>
      <c r="S28" s="168">
        <f t="shared" si="17"/>
        <v>0</v>
      </c>
      <c r="T28" s="168">
        <f t="shared" si="17"/>
        <v>0</v>
      </c>
      <c r="U28" s="168">
        <f t="shared" si="17"/>
        <v>0</v>
      </c>
      <c r="V28" s="168">
        <f t="shared" si="17"/>
        <v>0</v>
      </c>
      <c r="W28" s="168">
        <f t="shared" si="17"/>
        <v>0</v>
      </c>
      <c r="X28" s="196"/>
      <c r="AC28" s="168">
        <f>MIN(IF($B29,AC27+IF(ISNUMBER(AB28),AB28,0),AC29/$N27),1)</f>
        <v>0</v>
      </c>
    </row>
    <row r="29" spans="1:29" ht="14.25">
      <c r="A29" s="184">
        <f ca="1">OFFSET(A29,-CFF.NumLinha,0)+1</f>
        <v>4</v>
      </c>
      <c r="B29" s="184" t="b">
        <f ca="1">$C29&gt;=OFFSET($C29,CFF.NumLinha,0)</f>
        <v>0</v>
      </c>
      <c r="C29" s="184">
        <f>INDEX(PO!A$12:A$167,MATCH($A29,PO!$V$12:$V$167,0))</f>
        <v>1</v>
      </c>
      <c r="D29" s="184">
        <f>IF(ISERROR(J29),I29,SMALL(I29:J29,1))-1</f>
        <v>11</v>
      </c>
      <c r="E29" s="184">
        <f ca="1">IF($C29=1,OFFSET(E29,-CFF.NumLinha,0)+1,OFFSET(E29,-CFF.NumLinha,0))</f>
        <v>2</v>
      </c>
      <c r="F29" s="184">
        <f ca="1">IF($C29=1,0,IF($C29=2,OFFSET(F29,-CFF.NumLinha,0)+1,OFFSET(F29,-CFF.NumLinha,0)))</f>
        <v>0</v>
      </c>
      <c r="G29" s="184">
        <f ca="1">IF(AND($C29&lt;=2,$C29&lt;&gt;0),0,IF($C29=3,OFFSET(G29,-CFF.NumLinha,0)+1,OFFSET(G29,-CFF.NumLinha,0)))</f>
        <v>0</v>
      </c>
      <c r="H29" s="184">
        <f ca="1">IF(AND($C29&lt;=3,$C29&lt;&gt;0),0,IF($C29=4,OFFSET(H29,-CFF.NumLinha,0)+1,OFFSET(H29,-CFF.NumLinha,0)))</f>
        <v>0</v>
      </c>
      <c r="I29" s="184">
        <f ca="1">MATCH(0,OFFSET($D29,1,$C29,ROW($A$135)-ROW($A29)),0)</f>
        <v>106</v>
      </c>
      <c r="J29" s="184">
        <f ca="1">MATCH(OFFSET($D29,0,$C29)+1,OFFSET($D29,1,$C29,ROW($A$135)-ROW($A29)),0)</f>
        <v>12</v>
      </c>
      <c r="K29" s="185">
        <f>ROUND(INDEX(PO!T$12:T$167,MATCH($A29,PO!$V$12:$V$167,0)),2)+10^-12</f>
        <v>1E-12</v>
      </c>
      <c r="L29" s="373"/>
      <c r="M29" s="375"/>
      <c r="N29" s="377"/>
      <c r="O29" s="204" t="s">
        <v>20</v>
      </c>
      <c r="P29" s="199">
        <f aca="true" ca="1" t="shared" si="18" ref="P29:W29">IF($B29,ROUND(P28*$N27,2),ROUND(SUMIF(OFFSET($B29,1,0,$D29),TRUE,OFFSET(P29,1,0,$D29))/SUMIF(OFFSET($B29,1,0,$D29),TRUE,OFFSET($K29,1,0,$D29))*$N27,2))</f>
        <v>0</v>
      </c>
      <c r="Q29" s="169">
        <f ca="1" t="shared" si="18"/>
        <v>0</v>
      </c>
      <c r="R29" s="169">
        <f ca="1" t="shared" si="18"/>
        <v>0</v>
      </c>
      <c r="S29" s="169">
        <f ca="1" t="shared" si="18"/>
        <v>0</v>
      </c>
      <c r="T29" s="169">
        <f ca="1" t="shared" si="18"/>
        <v>0</v>
      </c>
      <c r="U29" s="169">
        <f ca="1" t="shared" si="18"/>
        <v>0</v>
      </c>
      <c r="V29" s="169">
        <f ca="1" t="shared" si="18"/>
        <v>0</v>
      </c>
      <c r="W29" s="207">
        <f ca="1" t="shared" si="18"/>
        <v>0</v>
      </c>
      <c r="X29" s="196"/>
      <c r="AC29" s="169">
        <f ca="1">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72" t="str">
        <f>INDEX(PO!K$12:K$167,MATCH($A32,PO!$V$12:$V$167,0))</f>
        <v>2.1.</v>
      </c>
      <c r="M30" s="374" t="str">
        <f>INDEX(PO!N$12:N$167,MATCH($A32,PO!$V$12:$V$167,0))</f>
        <v>FUNDAÇÕES SUPERFICIAIS - ESTACAS</v>
      </c>
      <c r="N30" s="376">
        <f>IF(ROUND(K32,2)=0,K32,ROUND(K32,2))</f>
        <v>1E-12</v>
      </c>
      <c r="O30" s="220" t="s">
        <v>143</v>
      </c>
      <c r="P30" s="226">
        <v>1</v>
      </c>
      <c r="Q30" s="227">
        <f aca="true" t="shared" si="19" ref="Q30:W30">IF($B32,0,Q31-IF(ISNUMBER(P31),P31,0))</f>
        <v>0</v>
      </c>
      <c r="R30" s="227">
        <f t="shared" si="19"/>
        <v>0</v>
      </c>
      <c r="S30" s="227">
        <f t="shared" si="19"/>
        <v>0</v>
      </c>
      <c r="T30" s="227">
        <f t="shared" si="19"/>
        <v>0</v>
      </c>
      <c r="U30" s="227">
        <f t="shared" si="19"/>
        <v>0</v>
      </c>
      <c r="V30" s="227">
        <f t="shared" si="19"/>
        <v>0</v>
      </c>
      <c r="W30" s="228">
        <f t="shared" si="19"/>
        <v>0</v>
      </c>
      <c r="X30" s="196"/>
      <c r="AC30" s="221">
        <f>IF($B32,0,AC31-IF(ISNUMBER(AB31),AB31,0))</f>
        <v>0</v>
      </c>
    </row>
    <row r="31" spans="1:29" ht="14.25">
      <c r="A31" s="184"/>
      <c r="B31" s="184"/>
      <c r="C31" s="184"/>
      <c r="D31" s="184"/>
      <c r="E31" s="184"/>
      <c r="F31" s="184"/>
      <c r="G31" s="184"/>
      <c r="H31" s="184"/>
      <c r="I31" s="184"/>
      <c r="J31" s="184"/>
      <c r="K31" s="184"/>
      <c r="L31" s="373"/>
      <c r="M31" s="375"/>
      <c r="N31" s="377"/>
      <c r="O31" s="170" t="s">
        <v>145</v>
      </c>
      <c r="P31" s="198">
        <f aca="true" t="shared" si="20" ref="P31:W31">MIN(IF($B32,P30+IF(ISNUMBER(O31),O31,0),P32/$N30),1)</f>
        <v>1</v>
      </c>
      <c r="Q31" s="168">
        <f t="shared" si="20"/>
        <v>1</v>
      </c>
      <c r="R31" s="168">
        <f t="shared" si="20"/>
        <v>1</v>
      </c>
      <c r="S31" s="168">
        <f t="shared" si="20"/>
        <v>1</v>
      </c>
      <c r="T31" s="168">
        <f t="shared" si="20"/>
        <v>1</v>
      </c>
      <c r="U31" s="168">
        <f t="shared" si="20"/>
        <v>1</v>
      </c>
      <c r="V31" s="168">
        <f t="shared" si="20"/>
        <v>1</v>
      </c>
      <c r="W31" s="168">
        <f t="shared" si="20"/>
        <v>1</v>
      </c>
      <c r="X31" s="196"/>
      <c r="AC31" s="168">
        <f>MIN(IF($B32,AC30+IF(ISNUMBER(AB31),AB31,0),AC32/$N30),1)</f>
        <v>0</v>
      </c>
    </row>
    <row r="32" spans="1:29" ht="14.25">
      <c r="A32" s="184">
        <f ca="1">OFFSET(A32,-CFF.NumLinha,0)+1</f>
        <v>5</v>
      </c>
      <c r="B32" s="184" t="b">
        <f ca="1">$C32&gt;=OFFSET($C32,CFF.NumLinha,0)</f>
        <v>1</v>
      </c>
      <c r="C32" s="184">
        <f>INDEX(PO!A$12:A$167,MATCH($A32,PO!$V$12:$V$167,0))</f>
        <v>2</v>
      </c>
      <c r="D32" s="184">
        <f>IF(ISERROR(J32),I32,SMALL(I32:J32,1))-1</f>
        <v>2</v>
      </c>
      <c r="E32" s="184">
        <f ca="1">IF($C32=1,OFFSET(E32,-CFF.NumLinha,0)+1,OFFSET(E32,-CFF.NumLinha,0))</f>
        <v>2</v>
      </c>
      <c r="F32" s="184">
        <f ca="1">IF($C32=1,0,IF($C32=2,OFFSET(F32,-CFF.NumLinha,0)+1,OFFSET(F32,-CFF.NumLinha,0)))</f>
        <v>1</v>
      </c>
      <c r="G32" s="184">
        <f ca="1">IF(AND($C32&lt;=2,$C32&lt;&gt;0),0,IF($C32=3,OFFSET(G32,-CFF.NumLinha,0)+1,OFFSET(G32,-CFF.NumLinha,0)))</f>
        <v>0</v>
      </c>
      <c r="H32" s="184">
        <f ca="1">IF(AND($C32&lt;=3,$C32&lt;&gt;0),0,IF($C32=4,OFFSET(H32,-CFF.NumLinha,0)+1,OFFSET(H32,-CFF.NumLinha,0)))</f>
        <v>0</v>
      </c>
      <c r="I32" s="184">
        <f ca="1">MATCH(0,OFFSET($D32,1,$C32,ROW($A$135)-ROW($A32)),0)</f>
        <v>9</v>
      </c>
      <c r="J32" s="184">
        <f ca="1">MATCH(OFFSET($D32,0,$C32)+1,OFFSET($D32,1,$C32,ROW($A$135)-ROW($A32)),0)</f>
        <v>3</v>
      </c>
      <c r="K32" s="185">
        <f>ROUND(INDEX(PO!T$12:T$167,MATCH($A32,PO!$V$12:$V$167,0)),2)+10^-12</f>
        <v>1E-12</v>
      </c>
      <c r="L32" s="373"/>
      <c r="M32" s="375"/>
      <c r="N32" s="377"/>
      <c r="O32" s="204" t="s">
        <v>20</v>
      </c>
      <c r="P32" s="199">
        <f aca="true" ca="1" t="shared" si="21" ref="P32:W32">IF($B32,ROUND(P31*$N30,2),ROUND(SUMIF(OFFSET($B32,1,0,$D32),TRUE,OFFSET(P32,1,0,$D32))/SUMIF(OFFSET($B32,1,0,$D32),TRUE,OFFSET($K32,1,0,$D32))*$N30,2))</f>
        <v>0</v>
      </c>
      <c r="Q32" s="169">
        <f ca="1" t="shared" si="21"/>
        <v>0</v>
      </c>
      <c r="R32" s="169">
        <f ca="1" t="shared" si="21"/>
        <v>0</v>
      </c>
      <c r="S32" s="169">
        <f ca="1" t="shared" si="21"/>
        <v>0</v>
      </c>
      <c r="T32" s="169">
        <f ca="1" t="shared" si="21"/>
        <v>0</v>
      </c>
      <c r="U32" s="169">
        <f ca="1" t="shared" si="21"/>
        <v>0</v>
      </c>
      <c r="V32" s="169">
        <f ca="1" t="shared" si="21"/>
        <v>0</v>
      </c>
      <c r="W32" s="207">
        <f ca="1" t="shared" si="21"/>
        <v>0</v>
      </c>
      <c r="X32" s="196"/>
      <c r="AC32" s="169">
        <f ca="1">IF($B32,ROUND(AC31*$N30,2),ROUND(SUMIF(OFFSET($B32,1,0,$D32),TRUE,OFFSET(AC32,1,0,$D32))/SUMIF(OFFSET($B32,1,0,$D32),TRUE,OFFSET($K32,1,0,$D32))*$N30,2))</f>
        <v>0</v>
      </c>
    </row>
    <row r="33" spans="1:29" ht="14.25" customHeight="1">
      <c r="A33" s="82"/>
      <c r="B33" s="82"/>
      <c r="C33" s="82"/>
      <c r="D33" s="82"/>
      <c r="E33" s="82"/>
      <c r="F33" s="82"/>
      <c r="G33" s="82"/>
      <c r="H33" s="82"/>
      <c r="I33" s="82"/>
      <c r="J33" s="82"/>
      <c r="K33" s="82"/>
      <c r="L33" s="372" t="str">
        <f>INDEX(PO!K$12:K$167,MATCH($A35,PO!$V$12:$V$167,0))</f>
        <v>2.2.</v>
      </c>
      <c r="M33" s="374" t="str">
        <f>INDEX(PO!N$12:N$167,MATCH($A35,PO!$V$12:$V$167,0))</f>
        <v>VIGAMENTO DE BALDRAME, INTERMEDIÁRIO E FORRO</v>
      </c>
      <c r="N33" s="376">
        <f>IF(ROUND(K35,2)=0,K35,ROUND(K35,2))</f>
        <v>1E-12</v>
      </c>
      <c r="O33" s="220" t="s">
        <v>143</v>
      </c>
      <c r="P33" s="226">
        <v>1</v>
      </c>
      <c r="Q33" s="227">
        <f aca="true" t="shared" si="22" ref="Q33:W33">IF($B35,0,Q34-IF(ISNUMBER(P34),P34,0))</f>
        <v>0</v>
      </c>
      <c r="R33" s="227">
        <f t="shared" si="22"/>
        <v>0</v>
      </c>
      <c r="S33" s="227">
        <f t="shared" si="22"/>
        <v>0</v>
      </c>
      <c r="T33" s="227">
        <f t="shared" si="22"/>
        <v>0</v>
      </c>
      <c r="U33" s="227">
        <f t="shared" si="22"/>
        <v>0</v>
      </c>
      <c r="V33" s="227">
        <f t="shared" si="22"/>
        <v>0</v>
      </c>
      <c r="W33" s="228">
        <f t="shared" si="22"/>
        <v>0</v>
      </c>
      <c r="X33" s="196"/>
      <c r="AC33" s="221">
        <f>IF($B35,0,AC34-IF(ISNUMBER(AB34),AB34,0))</f>
        <v>0</v>
      </c>
    </row>
    <row r="34" spans="1:29" ht="14.25">
      <c r="A34" s="184"/>
      <c r="B34" s="184"/>
      <c r="C34" s="184"/>
      <c r="D34" s="184"/>
      <c r="E34" s="184"/>
      <c r="F34" s="184"/>
      <c r="G34" s="184"/>
      <c r="H34" s="184"/>
      <c r="I34" s="184"/>
      <c r="J34" s="184"/>
      <c r="K34" s="184"/>
      <c r="L34" s="373"/>
      <c r="M34" s="375"/>
      <c r="N34" s="377"/>
      <c r="O34" s="170" t="s">
        <v>145</v>
      </c>
      <c r="P34" s="198">
        <f aca="true" t="shared" si="23" ref="P34:W34">MIN(IF($B35,P33+IF(ISNUMBER(O34),O34,0),P35/$N33),1)</f>
        <v>1</v>
      </c>
      <c r="Q34" s="168">
        <f t="shared" si="23"/>
        <v>1</v>
      </c>
      <c r="R34" s="168">
        <f t="shared" si="23"/>
        <v>1</v>
      </c>
      <c r="S34" s="168">
        <f t="shared" si="23"/>
        <v>1</v>
      </c>
      <c r="T34" s="168">
        <f t="shared" si="23"/>
        <v>1</v>
      </c>
      <c r="U34" s="168">
        <f t="shared" si="23"/>
        <v>1</v>
      </c>
      <c r="V34" s="168">
        <f t="shared" si="23"/>
        <v>1</v>
      </c>
      <c r="W34" s="168">
        <f t="shared" si="23"/>
        <v>1</v>
      </c>
      <c r="X34" s="196"/>
      <c r="AC34" s="168">
        <f>MIN(IF($B35,AC33+IF(ISNUMBER(AB34),AB34,0),AC35/$N33),1)</f>
        <v>0</v>
      </c>
    </row>
    <row r="35" spans="1:29" ht="14.25">
      <c r="A35" s="184">
        <f ca="1">OFFSET(A35,-CFF.NumLinha,0)+1</f>
        <v>6</v>
      </c>
      <c r="B35" s="184" t="b">
        <f ca="1">$C35&gt;=OFFSET($C35,CFF.NumLinha,0)</f>
        <v>1</v>
      </c>
      <c r="C35" s="184">
        <f>INDEX(PO!A$12:A$167,MATCH($A35,PO!$V$12:$V$167,0))</f>
        <v>2</v>
      </c>
      <c r="D35" s="184">
        <f>IF(ISERROR(J35),I35,SMALL(I35:J35,1))-1</f>
        <v>2</v>
      </c>
      <c r="E35" s="184">
        <f ca="1">IF($C35=1,OFFSET(E35,-CFF.NumLinha,0)+1,OFFSET(E35,-CFF.NumLinha,0))</f>
        <v>2</v>
      </c>
      <c r="F35" s="184">
        <f ca="1">IF($C35=1,0,IF($C35=2,OFFSET(F35,-CFF.NumLinha,0)+1,OFFSET(F35,-CFF.NumLinha,0)))</f>
        <v>2</v>
      </c>
      <c r="G35" s="184">
        <f ca="1">IF(AND($C35&lt;=2,$C35&lt;&gt;0),0,IF($C35=3,OFFSET(G35,-CFF.NumLinha,0)+1,OFFSET(G35,-CFF.NumLinha,0)))</f>
        <v>0</v>
      </c>
      <c r="H35" s="184">
        <f ca="1">IF(AND($C35&lt;=3,$C35&lt;&gt;0),0,IF($C35=4,OFFSET(H35,-CFF.NumLinha,0)+1,OFFSET(H35,-CFF.NumLinha,0)))</f>
        <v>0</v>
      </c>
      <c r="I35" s="184">
        <f ca="1">MATCH(0,OFFSET($D35,1,$C35,ROW($A$135)-ROW($A35)),0)</f>
        <v>6</v>
      </c>
      <c r="J35" s="184">
        <f ca="1">MATCH(OFFSET($D35,0,$C35)+1,OFFSET($D35,1,$C35,ROW($A$135)-ROW($A35)),0)</f>
        <v>3</v>
      </c>
      <c r="K35" s="185">
        <f>ROUND(INDEX(PO!T$12:T$167,MATCH($A35,PO!$V$12:$V$167,0)),2)+10^-12</f>
        <v>1E-12</v>
      </c>
      <c r="L35" s="373"/>
      <c r="M35" s="375"/>
      <c r="N35" s="377"/>
      <c r="O35" s="204" t="s">
        <v>20</v>
      </c>
      <c r="P35" s="199">
        <f aca="true" ca="1" t="shared" si="24" ref="P35:W35">IF($B35,ROUND(P34*$N33,2),ROUND(SUMIF(OFFSET($B35,1,0,$D35),TRUE,OFFSET(P35,1,0,$D35))/SUMIF(OFFSET($B35,1,0,$D35),TRUE,OFFSET($K35,1,0,$D35))*$N33,2))</f>
        <v>0</v>
      </c>
      <c r="Q35" s="169">
        <f ca="1" t="shared" si="24"/>
        <v>0</v>
      </c>
      <c r="R35" s="169">
        <f ca="1" t="shared" si="24"/>
        <v>0</v>
      </c>
      <c r="S35" s="169">
        <f ca="1" t="shared" si="24"/>
        <v>0</v>
      </c>
      <c r="T35" s="169">
        <f ca="1" t="shared" si="24"/>
        <v>0</v>
      </c>
      <c r="U35" s="169">
        <f ca="1" t="shared" si="24"/>
        <v>0</v>
      </c>
      <c r="V35" s="169">
        <f ca="1" t="shared" si="24"/>
        <v>0</v>
      </c>
      <c r="W35" s="207">
        <f ca="1" t="shared" si="24"/>
        <v>0</v>
      </c>
      <c r="X35" s="196"/>
      <c r="AC35" s="169">
        <f ca="1">IF($B35,ROUND(AC34*$N33,2),ROUND(SUMIF(OFFSET($B35,1,0,$D35),TRUE,OFFSET(AC35,1,0,$D35))/SUMIF(OFFSET($B35,1,0,$D35),TRUE,OFFSET($K35,1,0,$D35))*$N33,2))</f>
        <v>0</v>
      </c>
    </row>
    <row r="36" spans="1:29" ht="14.25" customHeight="1">
      <c r="A36" s="82"/>
      <c r="B36" s="82"/>
      <c r="C36" s="82"/>
      <c r="D36" s="82"/>
      <c r="E36" s="82"/>
      <c r="F36" s="82"/>
      <c r="G36" s="82"/>
      <c r="H36" s="82"/>
      <c r="I36" s="82"/>
      <c r="J36" s="82"/>
      <c r="K36" s="82"/>
      <c r="L36" s="372" t="str">
        <f>INDEX(PO!K$12:K$167,MATCH($A38,PO!$V$12:$V$167,0))</f>
        <v>2.3.</v>
      </c>
      <c r="M36" s="374" t="str">
        <f>INDEX(PO!N$12:N$167,MATCH($A38,PO!$V$12:$V$167,0))</f>
        <v>EXECUÇÃO DOS PILARES DE SUSTENTAÇÃO DO ELEVADOR E LAJE</v>
      </c>
      <c r="N36" s="376">
        <f>IF(ROUND(K38,2)=0,K38,ROUND(K38,2))</f>
        <v>1E-12</v>
      </c>
      <c r="O36" s="220" t="s">
        <v>143</v>
      </c>
      <c r="P36" s="226">
        <v>1</v>
      </c>
      <c r="Q36" s="227">
        <f aca="true" t="shared" si="25" ref="Q36:W36">IF($B38,0,Q37-IF(ISNUMBER(P37),P37,0))</f>
        <v>0</v>
      </c>
      <c r="R36" s="227">
        <f t="shared" si="25"/>
        <v>0</v>
      </c>
      <c r="S36" s="227">
        <f t="shared" si="25"/>
        <v>0</v>
      </c>
      <c r="T36" s="227">
        <f t="shared" si="25"/>
        <v>0</v>
      </c>
      <c r="U36" s="227">
        <f t="shared" si="25"/>
        <v>0</v>
      </c>
      <c r="V36" s="227">
        <f t="shared" si="25"/>
        <v>0</v>
      </c>
      <c r="W36" s="228">
        <f t="shared" si="25"/>
        <v>0</v>
      </c>
      <c r="X36" s="196"/>
      <c r="AC36" s="221">
        <f>IF($B38,0,AC37-IF(ISNUMBER(AB37),AB37,0))</f>
        <v>0</v>
      </c>
    </row>
    <row r="37" spans="1:29" ht="14.25">
      <c r="A37" s="184"/>
      <c r="B37" s="184"/>
      <c r="C37" s="184"/>
      <c r="D37" s="184"/>
      <c r="E37" s="184"/>
      <c r="F37" s="184"/>
      <c r="G37" s="184"/>
      <c r="H37" s="184"/>
      <c r="I37" s="184"/>
      <c r="J37" s="184"/>
      <c r="K37" s="184"/>
      <c r="L37" s="373"/>
      <c r="M37" s="375"/>
      <c r="N37" s="377"/>
      <c r="O37" s="170" t="s">
        <v>145</v>
      </c>
      <c r="P37" s="198">
        <f aca="true" t="shared" si="26" ref="P37:W37">MIN(IF($B38,P36+IF(ISNUMBER(O37),O37,0),P38/$N36),1)</f>
        <v>1</v>
      </c>
      <c r="Q37" s="168">
        <f t="shared" si="26"/>
        <v>1</v>
      </c>
      <c r="R37" s="168">
        <f t="shared" si="26"/>
        <v>1</v>
      </c>
      <c r="S37" s="168">
        <f t="shared" si="26"/>
        <v>1</v>
      </c>
      <c r="T37" s="168">
        <f t="shared" si="26"/>
        <v>1</v>
      </c>
      <c r="U37" s="168">
        <f t="shared" si="26"/>
        <v>1</v>
      </c>
      <c r="V37" s="168">
        <f t="shared" si="26"/>
        <v>1</v>
      </c>
      <c r="W37" s="168">
        <f t="shared" si="26"/>
        <v>1</v>
      </c>
      <c r="X37" s="196"/>
      <c r="AC37" s="168">
        <f>MIN(IF($B38,AC36+IF(ISNUMBER(AB37),AB37,0),AC38/$N36),1)</f>
        <v>0</v>
      </c>
    </row>
    <row r="38" spans="1:29" ht="14.25">
      <c r="A38" s="184">
        <f ca="1">OFFSET(A38,-CFF.NumLinha,0)+1</f>
        <v>7</v>
      </c>
      <c r="B38" s="184" t="b">
        <f ca="1">$C38&gt;=OFFSET($C38,CFF.NumLinha,0)</f>
        <v>1</v>
      </c>
      <c r="C38" s="184">
        <f>INDEX(PO!A$12:A$167,MATCH($A38,PO!$V$12:$V$167,0))</f>
        <v>2</v>
      </c>
      <c r="D38" s="184">
        <f>IF(ISERROR(J38),I38,SMALL(I38:J38,1))-1</f>
        <v>2</v>
      </c>
      <c r="E38" s="184">
        <f ca="1">IF($C38=1,OFFSET(E38,-CFF.NumLinha,0)+1,OFFSET(E38,-CFF.NumLinha,0))</f>
        <v>2</v>
      </c>
      <c r="F38" s="184">
        <f ca="1">IF($C38=1,0,IF($C38=2,OFFSET(F38,-CFF.NumLinha,0)+1,OFFSET(F38,-CFF.NumLinha,0)))</f>
        <v>3</v>
      </c>
      <c r="G38" s="184">
        <f ca="1">IF(AND($C38&lt;=2,$C38&lt;&gt;0),0,IF($C38=3,OFFSET(G38,-CFF.NumLinha,0)+1,OFFSET(G38,-CFF.NumLinha,0)))</f>
        <v>0</v>
      </c>
      <c r="H38" s="184">
        <f ca="1">IF(AND($C38&lt;=3,$C38&lt;&gt;0),0,IF($C38=4,OFFSET(H38,-CFF.NumLinha,0)+1,OFFSET(H38,-CFF.NumLinha,0)))</f>
        <v>0</v>
      </c>
      <c r="I38" s="184">
        <f ca="1">MATCH(0,OFFSET($D38,1,$C38,ROW($A$135)-ROW($A38)),0)</f>
        <v>3</v>
      </c>
      <c r="J38" s="184">
        <f ca="1">MATCH(OFFSET($D38,0,$C38)+1,OFFSET($D38,1,$C38,ROW($A$135)-ROW($A38)),0)</f>
        <v>24</v>
      </c>
      <c r="K38" s="185">
        <f>ROUND(INDEX(PO!T$12:T$167,MATCH($A38,PO!$V$12:$V$167,0)),2)+10^-12</f>
        <v>1E-12</v>
      </c>
      <c r="L38" s="373"/>
      <c r="M38" s="375"/>
      <c r="N38" s="377"/>
      <c r="O38" s="204" t="s">
        <v>20</v>
      </c>
      <c r="P38" s="199">
        <f aca="true" ca="1" t="shared" si="27" ref="P38:W38">IF($B38,ROUND(P37*$N36,2),ROUND(SUMIF(OFFSET($B38,1,0,$D38),TRUE,OFFSET(P38,1,0,$D38))/SUMIF(OFFSET($B38,1,0,$D38),TRUE,OFFSET($K38,1,0,$D38))*$N36,2))</f>
        <v>0</v>
      </c>
      <c r="Q38" s="169">
        <f ca="1" t="shared" si="27"/>
        <v>0</v>
      </c>
      <c r="R38" s="169">
        <f ca="1" t="shared" si="27"/>
        <v>0</v>
      </c>
      <c r="S38" s="169">
        <f ca="1" t="shared" si="27"/>
        <v>0</v>
      </c>
      <c r="T38" s="169">
        <f ca="1" t="shared" si="27"/>
        <v>0</v>
      </c>
      <c r="U38" s="169">
        <f ca="1" t="shared" si="27"/>
        <v>0</v>
      </c>
      <c r="V38" s="169">
        <f ca="1" t="shared" si="27"/>
        <v>0</v>
      </c>
      <c r="W38" s="207">
        <f ca="1" t="shared" si="27"/>
        <v>0</v>
      </c>
      <c r="X38" s="196"/>
      <c r="AC38" s="169">
        <f ca="1">IF($B38,ROUND(AC37*$N36,2),ROUND(SUMIF(OFFSET($B38,1,0,$D38),TRUE,OFFSET(AC38,1,0,$D38))/SUMIF(OFFSET($B38,1,0,$D38),TRUE,OFFSET($K38,1,0,$D38))*$N36,2))</f>
        <v>0</v>
      </c>
    </row>
    <row r="39" spans="1:29" ht="14.25" customHeight="1">
      <c r="A39" s="82"/>
      <c r="B39" s="82"/>
      <c r="C39" s="82"/>
      <c r="D39" s="82"/>
      <c r="E39" s="82"/>
      <c r="F39" s="82"/>
      <c r="G39" s="82"/>
      <c r="H39" s="82"/>
      <c r="I39" s="82"/>
      <c r="J39" s="82"/>
      <c r="K39" s="82"/>
      <c r="L39" s="372" t="str">
        <f>INDEX(PO!K$12:K$167,MATCH($A41,PO!$V$12:$V$167,0))</f>
        <v>3.</v>
      </c>
      <c r="M39" s="374" t="str">
        <f>INDEX(PO!N$12:N$167,MATCH($A41,PO!$V$12:$V$167,0))</f>
        <v>COBERTURA E CALHAS </v>
      </c>
      <c r="N39" s="376">
        <f>IF(ROUND(K41,2)=0,K41,ROUND(K41,2))</f>
        <v>1E-12</v>
      </c>
      <c r="O39" s="220" t="s">
        <v>143</v>
      </c>
      <c r="P39" s="226">
        <v>1</v>
      </c>
      <c r="Q39" s="227">
        <f aca="true" t="shared" si="28" ref="Q39:W39">IF($B41,0,Q40-IF(ISNUMBER(P40),P40,0))</f>
        <v>0</v>
      </c>
      <c r="R39" s="227">
        <f t="shared" si="28"/>
        <v>0</v>
      </c>
      <c r="S39" s="227">
        <f t="shared" si="28"/>
        <v>0</v>
      </c>
      <c r="T39" s="227">
        <f t="shared" si="28"/>
        <v>0</v>
      </c>
      <c r="U39" s="227">
        <f t="shared" si="28"/>
        <v>0</v>
      </c>
      <c r="V39" s="227">
        <f t="shared" si="28"/>
        <v>0</v>
      </c>
      <c r="W39" s="228">
        <f t="shared" si="28"/>
        <v>0</v>
      </c>
      <c r="X39" s="196"/>
      <c r="AC39" s="221">
        <f>IF($B41,0,AC40-IF(ISNUMBER(AB40),AB40,0))</f>
        <v>0</v>
      </c>
    </row>
    <row r="40" spans="1:29" ht="14.25">
      <c r="A40" s="184"/>
      <c r="B40" s="184"/>
      <c r="C40" s="184"/>
      <c r="D40" s="184"/>
      <c r="E40" s="184"/>
      <c r="F40" s="184"/>
      <c r="G40" s="184"/>
      <c r="H40" s="184"/>
      <c r="I40" s="184"/>
      <c r="J40" s="184"/>
      <c r="K40" s="184"/>
      <c r="L40" s="373"/>
      <c r="M40" s="375"/>
      <c r="N40" s="377"/>
      <c r="O40" s="170" t="s">
        <v>145</v>
      </c>
      <c r="P40" s="198">
        <f aca="true" t="shared" si="29" ref="P40:W40">MIN(IF($B41,P39+IF(ISNUMBER(O40),O40,0),P41/$N39),1)</f>
        <v>1</v>
      </c>
      <c r="Q40" s="168">
        <f t="shared" si="29"/>
        <v>1</v>
      </c>
      <c r="R40" s="168">
        <f t="shared" si="29"/>
        <v>1</v>
      </c>
      <c r="S40" s="168">
        <f t="shared" si="29"/>
        <v>1</v>
      </c>
      <c r="T40" s="168">
        <f t="shared" si="29"/>
        <v>1</v>
      </c>
      <c r="U40" s="168">
        <f t="shared" si="29"/>
        <v>1</v>
      </c>
      <c r="V40" s="168">
        <f t="shared" si="29"/>
        <v>1</v>
      </c>
      <c r="W40" s="168">
        <f t="shared" si="29"/>
        <v>1</v>
      </c>
      <c r="X40" s="196"/>
      <c r="AC40" s="168">
        <f>MIN(IF($B41,AC39+IF(ISNUMBER(AB40),AB40,0),AC41/$N39),1)</f>
        <v>0</v>
      </c>
    </row>
    <row r="41" spans="1:29" ht="14.25">
      <c r="A41" s="184">
        <f ca="1">OFFSET(A41,-CFF.NumLinha,0)+1</f>
        <v>8</v>
      </c>
      <c r="B41" s="184" t="b">
        <f ca="1">$C41&gt;=OFFSET($C41,CFF.NumLinha,0)</f>
        <v>1</v>
      </c>
      <c r="C41" s="184">
        <f>INDEX(PO!A$12:A$167,MATCH($A41,PO!$V$12:$V$167,0))</f>
        <v>1</v>
      </c>
      <c r="D41" s="184">
        <f>IF(ISERROR(J41),I41,SMALL(I41:J41,1))-1</f>
        <v>2</v>
      </c>
      <c r="E41" s="184">
        <f ca="1">IF($C41=1,OFFSET(E41,-CFF.NumLinha,0)+1,OFFSET(E41,-CFF.NumLinha,0))</f>
        <v>3</v>
      </c>
      <c r="F41" s="184">
        <f ca="1">IF($C41=1,0,IF($C41=2,OFFSET(F41,-CFF.NumLinha,0)+1,OFFSET(F41,-CFF.NumLinha,0)))</f>
        <v>0</v>
      </c>
      <c r="G41" s="184">
        <f ca="1">IF(AND($C41&lt;=2,$C41&lt;&gt;0),0,IF($C41=3,OFFSET(G41,-CFF.NumLinha,0)+1,OFFSET(G41,-CFF.NumLinha,0)))</f>
        <v>0</v>
      </c>
      <c r="H41" s="184">
        <f ca="1">IF(AND($C41&lt;=3,$C41&lt;&gt;0),0,IF($C41=4,OFFSET(H41,-CFF.NumLinha,0)+1,OFFSET(H41,-CFF.NumLinha,0)))</f>
        <v>0</v>
      </c>
      <c r="I41" s="184">
        <f ca="1">MATCH(0,OFFSET($D41,1,$C41,ROW($A$135)-ROW($A41)),0)</f>
        <v>94</v>
      </c>
      <c r="J41" s="184">
        <f ca="1">MATCH(OFFSET($D41,0,$C41)+1,OFFSET($D41,1,$C41,ROW($A$135)-ROW($A41)),0)</f>
        <v>3</v>
      </c>
      <c r="K41" s="185">
        <f>ROUND(INDEX(PO!T$12:T$167,MATCH($A41,PO!$V$12:$V$167,0)),2)+10^-12</f>
        <v>1E-12</v>
      </c>
      <c r="L41" s="373"/>
      <c r="M41" s="375"/>
      <c r="N41" s="377"/>
      <c r="O41" s="204" t="s">
        <v>20</v>
      </c>
      <c r="P41" s="199">
        <f aca="true" ca="1" t="shared" si="30" ref="P41:W41">IF($B41,ROUND(P40*$N39,2),ROUND(SUMIF(OFFSET($B41,1,0,$D41),TRUE,OFFSET(P41,1,0,$D41))/SUMIF(OFFSET($B41,1,0,$D41),TRUE,OFFSET($K41,1,0,$D41))*$N39,2))</f>
        <v>0</v>
      </c>
      <c r="Q41" s="169">
        <f ca="1" t="shared" si="30"/>
        <v>0</v>
      </c>
      <c r="R41" s="169">
        <f ca="1" t="shared" si="30"/>
        <v>0</v>
      </c>
      <c r="S41" s="169">
        <f ca="1" t="shared" si="30"/>
        <v>0</v>
      </c>
      <c r="T41" s="169">
        <f ca="1" t="shared" si="30"/>
        <v>0</v>
      </c>
      <c r="U41" s="169">
        <f ca="1" t="shared" si="30"/>
        <v>0</v>
      </c>
      <c r="V41" s="169">
        <f ca="1" t="shared" si="30"/>
        <v>0</v>
      </c>
      <c r="W41" s="207">
        <f ca="1" t="shared" si="30"/>
        <v>0</v>
      </c>
      <c r="X41" s="196"/>
      <c r="AC41" s="169">
        <f ca="1">IF($B41,ROUND(AC40*$N39,2),ROUND(SUMIF(OFFSET($B41,1,0,$D41),TRUE,OFFSET(AC41,1,0,$D41))/SUMIF(OFFSET($B41,1,0,$D41),TRUE,OFFSET($K41,1,0,$D41))*$N39,2))</f>
        <v>0</v>
      </c>
    </row>
    <row r="42" spans="1:29" ht="14.25" customHeight="1">
      <c r="A42" s="82"/>
      <c r="B42" s="82"/>
      <c r="C42" s="82"/>
      <c r="D42" s="82"/>
      <c r="E42" s="82"/>
      <c r="F42" s="82"/>
      <c r="G42" s="82"/>
      <c r="H42" s="82"/>
      <c r="I42" s="82"/>
      <c r="J42" s="82"/>
      <c r="K42" s="82"/>
      <c r="L42" s="372" t="str">
        <f>INDEX(PO!K$12:K$167,MATCH($A44,PO!$V$12:$V$167,0))</f>
        <v>4.</v>
      </c>
      <c r="M42" s="374" t="str">
        <f>INDEX(PO!N$12:N$167,MATCH($A44,PO!$V$12:$V$167,0))</f>
        <v>EXECUÇÃO DE PAREDES </v>
      </c>
      <c r="N42" s="376">
        <f>IF(ROUND(K44,2)=0,K44,ROUND(K44,2))</f>
        <v>1E-12</v>
      </c>
      <c r="O42" s="220" t="s">
        <v>143</v>
      </c>
      <c r="P42" s="226">
        <v>1</v>
      </c>
      <c r="Q42" s="227">
        <f aca="true" t="shared" si="31" ref="Q42:W42">IF($B44,0,Q43-IF(ISNUMBER(P43),P43,0))</f>
        <v>0</v>
      </c>
      <c r="R42" s="227">
        <f t="shared" si="31"/>
        <v>0</v>
      </c>
      <c r="S42" s="227">
        <f t="shared" si="31"/>
        <v>0</v>
      </c>
      <c r="T42" s="227">
        <f t="shared" si="31"/>
        <v>0</v>
      </c>
      <c r="U42" s="227">
        <f t="shared" si="31"/>
        <v>0</v>
      </c>
      <c r="V42" s="227">
        <f t="shared" si="31"/>
        <v>0</v>
      </c>
      <c r="W42" s="228">
        <f t="shared" si="31"/>
        <v>0</v>
      </c>
      <c r="X42" s="196"/>
      <c r="AC42" s="221">
        <f>IF($B44,0,AC43-IF(ISNUMBER(AB43),AB43,0))</f>
        <v>0</v>
      </c>
    </row>
    <row r="43" spans="1:29" ht="14.25">
      <c r="A43" s="184"/>
      <c r="B43" s="184"/>
      <c r="C43" s="184"/>
      <c r="D43" s="184"/>
      <c r="E43" s="184"/>
      <c r="F43" s="184"/>
      <c r="G43" s="184"/>
      <c r="H43" s="184"/>
      <c r="I43" s="184"/>
      <c r="J43" s="184"/>
      <c r="K43" s="184"/>
      <c r="L43" s="373"/>
      <c r="M43" s="375"/>
      <c r="N43" s="377"/>
      <c r="O43" s="170" t="s">
        <v>145</v>
      </c>
      <c r="P43" s="198">
        <f aca="true" t="shared" si="32" ref="P43:W43">MIN(IF($B44,P42+IF(ISNUMBER(O43),O43,0),P44/$N42),1)</f>
        <v>1</v>
      </c>
      <c r="Q43" s="168">
        <f t="shared" si="32"/>
        <v>1</v>
      </c>
      <c r="R43" s="168">
        <f t="shared" si="32"/>
        <v>1</v>
      </c>
      <c r="S43" s="168">
        <f t="shared" si="32"/>
        <v>1</v>
      </c>
      <c r="T43" s="168">
        <f t="shared" si="32"/>
        <v>1</v>
      </c>
      <c r="U43" s="168">
        <f t="shared" si="32"/>
        <v>1</v>
      </c>
      <c r="V43" s="168">
        <f t="shared" si="32"/>
        <v>1</v>
      </c>
      <c r="W43" s="168">
        <f t="shared" si="32"/>
        <v>1</v>
      </c>
      <c r="X43" s="196"/>
      <c r="AC43" s="168">
        <f>MIN(IF($B44,AC42+IF(ISNUMBER(AB43),AB43,0),AC44/$N42),1)</f>
        <v>0</v>
      </c>
    </row>
    <row r="44" spans="1:29" ht="14.25">
      <c r="A44" s="184">
        <f ca="1">OFFSET(A44,-CFF.NumLinha,0)+1</f>
        <v>9</v>
      </c>
      <c r="B44" s="184" t="b">
        <f ca="1">$C44&gt;=OFFSET($C44,CFF.NumLinha,0)</f>
        <v>1</v>
      </c>
      <c r="C44" s="184">
        <f>INDEX(PO!A$12:A$167,MATCH($A44,PO!$V$12:$V$167,0))</f>
        <v>1</v>
      </c>
      <c r="D44" s="184">
        <f>IF(ISERROR(J44),I44,SMALL(I44:J44,1))-1</f>
        <v>2</v>
      </c>
      <c r="E44" s="184">
        <f ca="1">IF($C44=1,OFFSET(E44,-CFF.NumLinha,0)+1,OFFSET(E44,-CFF.NumLinha,0))</f>
        <v>4</v>
      </c>
      <c r="F44" s="184">
        <f ca="1">IF($C44=1,0,IF($C44=2,OFFSET(F44,-CFF.NumLinha,0)+1,OFFSET(F44,-CFF.NumLinha,0)))</f>
        <v>0</v>
      </c>
      <c r="G44" s="184">
        <f ca="1">IF(AND($C44&lt;=2,$C44&lt;&gt;0),0,IF($C44=3,OFFSET(G44,-CFF.NumLinha,0)+1,OFFSET(G44,-CFF.NumLinha,0)))</f>
        <v>0</v>
      </c>
      <c r="H44" s="184">
        <f ca="1">IF(AND($C44&lt;=3,$C44&lt;&gt;0),0,IF($C44=4,OFFSET(H44,-CFF.NumLinha,0)+1,OFFSET(H44,-CFF.NumLinha,0)))</f>
        <v>0</v>
      </c>
      <c r="I44" s="184">
        <f ca="1">MATCH(0,OFFSET($D44,1,$C44,ROW($A$135)-ROW($A44)),0)</f>
        <v>91</v>
      </c>
      <c r="J44" s="184">
        <f ca="1">MATCH(OFFSET($D44,0,$C44)+1,OFFSET($D44,1,$C44,ROW($A$135)-ROW($A44)),0)</f>
        <v>3</v>
      </c>
      <c r="K44" s="185">
        <f>ROUND(INDEX(PO!T$12:T$167,MATCH($A44,PO!$V$12:$V$167,0)),2)+10^-12</f>
        <v>1E-12</v>
      </c>
      <c r="L44" s="373"/>
      <c r="M44" s="375"/>
      <c r="N44" s="377"/>
      <c r="O44" s="204" t="s">
        <v>20</v>
      </c>
      <c r="P44" s="199">
        <f aca="true" ca="1" t="shared" si="33" ref="P44:W44">IF($B44,ROUND(P43*$N42,2),ROUND(SUMIF(OFFSET($B44,1,0,$D44),TRUE,OFFSET(P44,1,0,$D44))/SUMIF(OFFSET($B44,1,0,$D44),TRUE,OFFSET($K44,1,0,$D44))*$N42,2))</f>
        <v>0</v>
      </c>
      <c r="Q44" s="169">
        <f ca="1" t="shared" si="33"/>
        <v>0</v>
      </c>
      <c r="R44" s="169">
        <f ca="1" t="shared" si="33"/>
        <v>0</v>
      </c>
      <c r="S44" s="169">
        <f ca="1" t="shared" si="33"/>
        <v>0</v>
      </c>
      <c r="T44" s="169">
        <f ca="1" t="shared" si="33"/>
        <v>0</v>
      </c>
      <c r="U44" s="169">
        <f ca="1" t="shared" si="33"/>
        <v>0</v>
      </c>
      <c r="V44" s="169">
        <f ca="1" t="shared" si="33"/>
        <v>0</v>
      </c>
      <c r="W44" s="207">
        <f ca="1" t="shared" si="33"/>
        <v>0</v>
      </c>
      <c r="X44" s="196"/>
      <c r="AC44" s="169">
        <f ca="1">IF($B44,ROUND(AC43*$N42,2),ROUND(SUMIF(OFFSET($B44,1,0,$D44),TRUE,OFFSET(AC44,1,0,$D44))/SUMIF(OFFSET($B44,1,0,$D44),TRUE,OFFSET($K44,1,0,$D44))*$N42,2))</f>
        <v>0</v>
      </c>
    </row>
    <row r="45" spans="1:29" ht="14.25" customHeight="1">
      <c r="A45" s="82"/>
      <c r="B45" s="82"/>
      <c r="C45" s="82"/>
      <c r="D45" s="82"/>
      <c r="E45" s="82"/>
      <c r="F45" s="82"/>
      <c r="G45" s="82"/>
      <c r="H45" s="82"/>
      <c r="I45" s="82"/>
      <c r="J45" s="82"/>
      <c r="K45" s="82"/>
      <c r="L45" s="372" t="str">
        <f>INDEX(PO!K$12:K$167,MATCH($A47,PO!$V$12:$V$167,0))</f>
        <v>5.</v>
      </c>
      <c r="M45" s="374" t="str">
        <f>INDEX(PO!N$12:N$167,MATCH($A47,PO!$V$12:$V$167,0))</f>
        <v>REBOCO INTERNO</v>
      </c>
      <c r="N45" s="376">
        <f>IF(ROUND(K47,2)=0,K47,ROUND(K47,2))</f>
        <v>1E-12</v>
      </c>
      <c r="O45" s="220" t="s">
        <v>143</v>
      </c>
      <c r="P45" s="226">
        <f>IF($B47,0,P46-IF(ISNUMBER(O46),O46,0))</f>
        <v>0</v>
      </c>
      <c r="Q45" s="227">
        <v>1</v>
      </c>
      <c r="R45" s="227">
        <f aca="true" t="shared" si="34" ref="R45:W45">IF($B47,0,R46-IF(ISNUMBER(Q46),Q46,0))</f>
        <v>0</v>
      </c>
      <c r="S45" s="227">
        <f t="shared" si="34"/>
        <v>0</v>
      </c>
      <c r="T45" s="227">
        <f t="shared" si="34"/>
        <v>0</v>
      </c>
      <c r="U45" s="227">
        <f t="shared" si="34"/>
        <v>0</v>
      </c>
      <c r="V45" s="227">
        <f t="shared" si="34"/>
        <v>0</v>
      </c>
      <c r="W45" s="228">
        <f t="shared" si="34"/>
        <v>0</v>
      </c>
      <c r="X45" s="196"/>
      <c r="AC45" s="221">
        <f>IF($B47,0,AC46-IF(ISNUMBER(AB46),AB46,0))</f>
        <v>0</v>
      </c>
    </row>
    <row r="46" spans="1:29" ht="14.25">
      <c r="A46" s="184"/>
      <c r="B46" s="184"/>
      <c r="C46" s="184"/>
      <c r="D46" s="184"/>
      <c r="E46" s="184"/>
      <c r="F46" s="184"/>
      <c r="G46" s="184"/>
      <c r="H46" s="184"/>
      <c r="I46" s="184"/>
      <c r="J46" s="184"/>
      <c r="K46" s="184"/>
      <c r="L46" s="373"/>
      <c r="M46" s="375"/>
      <c r="N46" s="377"/>
      <c r="O46" s="170" t="s">
        <v>145</v>
      </c>
      <c r="P46" s="198">
        <f aca="true" t="shared" si="35" ref="P46:W46">MIN(IF($B47,P45+IF(ISNUMBER(O46),O46,0),P47/$N45),1)</f>
        <v>0</v>
      </c>
      <c r="Q46" s="168">
        <f t="shared" si="35"/>
        <v>1</v>
      </c>
      <c r="R46" s="168">
        <f t="shared" si="35"/>
        <v>1</v>
      </c>
      <c r="S46" s="168">
        <f t="shared" si="35"/>
        <v>1</v>
      </c>
      <c r="T46" s="168">
        <f t="shared" si="35"/>
        <v>1</v>
      </c>
      <c r="U46" s="168">
        <f t="shared" si="35"/>
        <v>1</v>
      </c>
      <c r="V46" s="168">
        <f t="shared" si="35"/>
        <v>1</v>
      </c>
      <c r="W46" s="168">
        <f t="shared" si="35"/>
        <v>1</v>
      </c>
      <c r="X46" s="196"/>
      <c r="AC46" s="168">
        <f>MIN(IF($B47,AC45+IF(ISNUMBER(AB46),AB46,0),AC47/$N45),1)</f>
        <v>0</v>
      </c>
    </row>
    <row r="47" spans="1:29" ht="14.25">
      <c r="A47" s="184">
        <f ca="1">OFFSET(A47,-CFF.NumLinha,0)+1</f>
        <v>10</v>
      </c>
      <c r="B47" s="184" t="b">
        <f ca="1">$C47&gt;=OFFSET($C47,CFF.NumLinha,0)</f>
        <v>1</v>
      </c>
      <c r="C47" s="184">
        <f>INDEX(PO!A$12:A$167,MATCH($A47,PO!$V$12:$V$167,0))</f>
        <v>1</v>
      </c>
      <c r="D47" s="184">
        <f>IF(ISERROR(J47),I47,SMALL(I47:J47,1))-1</f>
        <v>2</v>
      </c>
      <c r="E47" s="184">
        <f ca="1">IF($C47=1,OFFSET(E47,-CFF.NumLinha,0)+1,OFFSET(E47,-CFF.NumLinha,0))</f>
        <v>5</v>
      </c>
      <c r="F47" s="184">
        <f ca="1">IF($C47=1,0,IF($C47=2,OFFSET(F47,-CFF.NumLinha,0)+1,OFFSET(F47,-CFF.NumLinha,0)))</f>
        <v>0</v>
      </c>
      <c r="G47" s="184">
        <f ca="1">IF(AND($C47&lt;=2,$C47&lt;&gt;0),0,IF($C47=3,OFFSET(G47,-CFF.NumLinha,0)+1,OFFSET(G47,-CFF.NumLinha,0)))</f>
        <v>0</v>
      </c>
      <c r="H47" s="184">
        <f ca="1">IF(AND($C47&lt;=3,$C47&lt;&gt;0),0,IF($C47=4,OFFSET(H47,-CFF.NumLinha,0)+1,OFFSET(H47,-CFF.NumLinha,0)))</f>
        <v>0</v>
      </c>
      <c r="I47" s="184">
        <f ca="1">MATCH(0,OFFSET($D47,1,$C47,ROW($A$135)-ROW($A47)),0)</f>
        <v>88</v>
      </c>
      <c r="J47" s="184">
        <f ca="1">MATCH(OFFSET($D47,0,$C47)+1,OFFSET($D47,1,$C47,ROW($A$135)-ROW($A47)),0)</f>
        <v>3</v>
      </c>
      <c r="K47" s="185">
        <f>ROUND(INDEX(PO!T$12:T$167,MATCH($A47,PO!$V$12:$V$167,0)),2)+10^-12</f>
        <v>1E-12</v>
      </c>
      <c r="L47" s="373"/>
      <c r="M47" s="375"/>
      <c r="N47" s="377"/>
      <c r="O47" s="204" t="s">
        <v>20</v>
      </c>
      <c r="P47" s="199">
        <f aca="true" ca="1" t="shared" si="36" ref="P47:W47">IF($B47,ROUND(P46*$N45,2),ROUND(SUMIF(OFFSET($B47,1,0,$D47),TRUE,OFFSET(P47,1,0,$D47))/SUMIF(OFFSET($B47,1,0,$D47),TRUE,OFFSET($K47,1,0,$D47))*$N45,2))</f>
        <v>0</v>
      </c>
      <c r="Q47" s="169">
        <f ca="1" t="shared" si="36"/>
        <v>0</v>
      </c>
      <c r="R47" s="169">
        <f ca="1" t="shared" si="36"/>
        <v>0</v>
      </c>
      <c r="S47" s="169">
        <f ca="1" t="shared" si="36"/>
        <v>0</v>
      </c>
      <c r="T47" s="169">
        <f ca="1" t="shared" si="36"/>
        <v>0</v>
      </c>
      <c r="U47" s="169">
        <f ca="1" t="shared" si="36"/>
        <v>0</v>
      </c>
      <c r="V47" s="169">
        <f ca="1" t="shared" si="36"/>
        <v>0</v>
      </c>
      <c r="W47" s="207">
        <f ca="1" t="shared" si="36"/>
        <v>0</v>
      </c>
      <c r="X47" s="196"/>
      <c r="AC47" s="169">
        <f ca="1">IF($B47,ROUND(AC46*$N45,2),ROUND(SUMIF(OFFSET($B47,1,0,$D47),TRUE,OFFSET(AC47,1,0,$D47))/SUMIF(OFFSET($B47,1,0,$D47),TRUE,OFFSET($K47,1,0,$D47))*$N45,2))</f>
        <v>0</v>
      </c>
    </row>
    <row r="48" spans="1:29" ht="14.25" customHeight="1">
      <c r="A48" s="82"/>
      <c r="B48" s="82"/>
      <c r="C48" s="82"/>
      <c r="D48" s="82"/>
      <c r="E48" s="82"/>
      <c r="F48" s="82"/>
      <c r="G48" s="82"/>
      <c r="H48" s="82"/>
      <c r="I48" s="82"/>
      <c r="J48" s="82"/>
      <c r="K48" s="82"/>
      <c r="L48" s="372" t="str">
        <f>INDEX(PO!K$12:K$167,MATCH($A50,PO!$V$12:$V$167,0))</f>
        <v>6.</v>
      </c>
      <c r="M48" s="374" t="str">
        <f>INDEX(PO!N$12:N$167,MATCH($A50,PO!$V$12:$V$167,0))</f>
        <v>REVESTIMENTOS</v>
      </c>
      <c r="N48" s="376">
        <f>IF(ROUND(K50,2)=0,K50,ROUND(K50,2))</f>
        <v>1E-12</v>
      </c>
      <c r="O48" s="220" t="s">
        <v>143</v>
      </c>
      <c r="P48" s="226">
        <f>IF($B50,0,P49-IF(ISNUMBER(O49),O49,0))</f>
        <v>0</v>
      </c>
      <c r="Q48" s="227">
        <v>1</v>
      </c>
      <c r="R48" s="227">
        <f aca="true" t="shared" si="37" ref="R48:W48">IF($B50,0,R49-IF(ISNUMBER(Q49),Q49,0))</f>
        <v>0</v>
      </c>
      <c r="S48" s="227">
        <f t="shared" si="37"/>
        <v>0</v>
      </c>
      <c r="T48" s="227">
        <f t="shared" si="37"/>
        <v>0</v>
      </c>
      <c r="U48" s="227">
        <f t="shared" si="37"/>
        <v>0</v>
      </c>
      <c r="V48" s="227">
        <f t="shared" si="37"/>
        <v>0</v>
      </c>
      <c r="W48" s="228">
        <f t="shared" si="37"/>
        <v>0</v>
      </c>
      <c r="X48" s="196"/>
      <c r="AC48" s="221">
        <f>IF($B50,0,AC49-IF(ISNUMBER(AB49),AB49,0))</f>
        <v>0</v>
      </c>
    </row>
    <row r="49" spans="1:29" ht="14.25">
      <c r="A49" s="184"/>
      <c r="B49" s="184"/>
      <c r="C49" s="184"/>
      <c r="D49" s="184"/>
      <c r="E49" s="184"/>
      <c r="F49" s="184"/>
      <c r="G49" s="184"/>
      <c r="H49" s="184"/>
      <c r="I49" s="184"/>
      <c r="J49" s="184"/>
      <c r="K49" s="184"/>
      <c r="L49" s="373"/>
      <c r="M49" s="375"/>
      <c r="N49" s="377"/>
      <c r="O49" s="170" t="s">
        <v>145</v>
      </c>
      <c r="P49" s="198">
        <f aca="true" t="shared" si="38" ref="P49:W49">MIN(IF($B50,P48+IF(ISNUMBER(O49),O49,0),P50/$N48),1)</f>
        <v>0</v>
      </c>
      <c r="Q49" s="168">
        <f t="shared" si="38"/>
        <v>0</v>
      </c>
      <c r="R49" s="168">
        <f t="shared" si="38"/>
        <v>0</v>
      </c>
      <c r="S49" s="168">
        <f t="shared" si="38"/>
        <v>0</v>
      </c>
      <c r="T49" s="168">
        <f t="shared" si="38"/>
        <v>0</v>
      </c>
      <c r="U49" s="168">
        <f t="shared" si="38"/>
        <v>0</v>
      </c>
      <c r="V49" s="168">
        <f t="shared" si="38"/>
        <v>0</v>
      </c>
      <c r="W49" s="168">
        <f t="shared" si="38"/>
        <v>0</v>
      </c>
      <c r="X49" s="196"/>
      <c r="AC49" s="168">
        <f>MIN(IF($B50,AC48+IF(ISNUMBER(AB49),AB49,0),AC50/$N48),1)</f>
        <v>0</v>
      </c>
    </row>
    <row r="50" spans="1:29" ht="14.25">
      <c r="A50" s="184">
        <f ca="1">OFFSET(A50,-CFF.NumLinha,0)+1</f>
        <v>11</v>
      </c>
      <c r="B50" s="184" t="b">
        <f ca="1">$C50&gt;=OFFSET($C50,CFF.NumLinha,0)</f>
        <v>0</v>
      </c>
      <c r="C50" s="184">
        <f>INDEX(PO!A$12:A$167,MATCH($A50,PO!$V$12:$V$167,0))</f>
        <v>1</v>
      </c>
      <c r="D50" s="184">
        <f>IF(ISERROR(J50),I50,SMALL(I50:J50,1))-1</f>
        <v>14</v>
      </c>
      <c r="E50" s="184">
        <f ca="1">IF($C50=1,OFFSET(E50,-CFF.NumLinha,0)+1,OFFSET(E50,-CFF.NumLinha,0))</f>
        <v>6</v>
      </c>
      <c r="F50" s="184">
        <f ca="1">IF($C50=1,0,IF($C50=2,OFFSET(F50,-CFF.NumLinha,0)+1,OFFSET(F50,-CFF.NumLinha,0)))</f>
        <v>0</v>
      </c>
      <c r="G50" s="184">
        <f ca="1">IF(AND($C50&lt;=2,$C50&lt;&gt;0),0,IF($C50=3,OFFSET(G50,-CFF.NumLinha,0)+1,OFFSET(G50,-CFF.NumLinha,0)))</f>
        <v>0</v>
      </c>
      <c r="H50" s="184">
        <f ca="1">IF(AND($C50&lt;=3,$C50&lt;&gt;0),0,IF($C50=4,OFFSET(H50,-CFF.NumLinha,0)+1,OFFSET(H50,-CFF.NumLinha,0)))</f>
        <v>0</v>
      </c>
      <c r="I50" s="184">
        <f ca="1">MATCH(0,OFFSET($D50,1,$C50,ROW($A$135)-ROW($A50)),0)</f>
        <v>85</v>
      </c>
      <c r="J50" s="184">
        <f ca="1">MATCH(OFFSET($D50,0,$C50)+1,OFFSET($D50,1,$C50,ROW($A$135)-ROW($A50)),0)</f>
        <v>15</v>
      </c>
      <c r="K50" s="185">
        <f>ROUND(INDEX(PO!T$12:T$167,MATCH($A50,PO!$V$12:$V$167,0)),2)+10^-12</f>
        <v>1E-12</v>
      </c>
      <c r="L50" s="373"/>
      <c r="M50" s="375"/>
      <c r="N50" s="377"/>
      <c r="O50" s="204" t="s">
        <v>20</v>
      </c>
      <c r="P50" s="199">
        <f aca="true" ca="1" t="shared" si="39" ref="P50:W50">IF($B50,ROUND(P49*$N48,2),ROUND(SUMIF(OFFSET($B50,1,0,$D50),TRUE,OFFSET(P50,1,0,$D50))/SUMIF(OFFSET($B50,1,0,$D50),TRUE,OFFSET($K50,1,0,$D50))*$N48,2))</f>
        <v>0</v>
      </c>
      <c r="Q50" s="169">
        <f ca="1" t="shared" si="39"/>
        <v>0</v>
      </c>
      <c r="R50" s="169">
        <f ca="1" t="shared" si="39"/>
        <v>0</v>
      </c>
      <c r="S50" s="169">
        <f ca="1" t="shared" si="39"/>
        <v>0</v>
      </c>
      <c r="T50" s="169">
        <f ca="1" t="shared" si="39"/>
        <v>0</v>
      </c>
      <c r="U50" s="169">
        <f ca="1" t="shared" si="39"/>
        <v>0</v>
      </c>
      <c r="V50" s="169">
        <f ca="1" t="shared" si="39"/>
        <v>0</v>
      </c>
      <c r="W50" s="207">
        <f ca="1" t="shared" si="39"/>
        <v>0</v>
      </c>
      <c r="X50" s="196"/>
      <c r="AC50" s="169">
        <f ca="1">IF($B50,ROUND(AC49*$N48,2),ROUND(SUMIF(OFFSET($B50,1,0,$D50),TRUE,OFFSET(AC50,1,0,$D50))/SUMIF(OFFSET($B50,1,0,$D50),TRUE,OFFSET($K50,1,0,$D50))*$N48,2))</f>
        <v>0</v>
      </c>
    </row>
    <row r="51" spans="1:29" ht="14.25" customHeight="1">
      <c r="A51" s="82"/>
      <c r="B51" s="82"/>
      <c r="C51" s="82"/>
      <c r="D51" s="82"/>
      <c r="E51" s="82"/>
      <c r="F51" s="82"/>
      <c r="G51" s="82"/>
      <c r="H51" s="82"/>
      <c r="I51" s="82"/>
      <c r="J51" s="82"/>
      <c r="K51" s="82"/>
      <c r="L51" s="372" t="str">
        <f>INDEX(PO!K$12:K$167,MATCH($A53,PO!$V$12:$V$167,0))</f>
        <v>6.1.</v>
      </c>
      <c r="M51" s="374" t="str">
        <f>INDEX(PO!N$12:N$167,MATCH($A53,PO!$V$12:$V$167,0))</f>
        <v>REVESTIMENTO DO PISO INTERNO</v>
      </c>
      <c r="N51" s="376">
        <f>IF(ROUND(K53,2)=0,K53,ROUND(K53,2))</f>
        <v>1E-12</v>
      </c>
      <c r="O51" s="220" t="s">
        <v>143</v>
      </c>
      <c r="P51" s="226">
        <f>IF($B53,0,P52-IF(ISNUMBER(O52),O52,0))</f>
        <v>0</v>
      </c>
      <c r="Q51" s="227">
        <v>1</v>
      </c>
      <c r="R51" s="227">
        <f aca="true" t="shared" si="40" ref="R51:W51">IF($B53,0,R52-IF(ISNUMBER(Q52),Q52,0))</f>
        <v>0</v>
      </c>
      <c r="S51" s="227">
        <f t="shared" si="40"/>
        <v>0</v>
      </c>
      <c r="T51" s="227">
        <f t="shared" si="40"/>
        <v>0</v>
      </c>
      <c r="U51" s="227">
        <f t="shared" si="40"/>
        <v>0</v>
      </c>
      <c r="V51" s="227">
        <f t="shared" si="40"/>
        <v>0</v>
      </c>
      <c r="W51" s="228">
        <f t="shared" si="40"/>
        <v>0</v>
      </c>
      <c r="X51" s="196"/>
      <c r="AC51" s="221">
        <f>IF($B53,0,AC52-IF(ISNUMBER(AB52),AB52,0))</f>
        <v>0</v>
      </c>
    </row>
    <row r="52" spans="1:29" ht="14.25">
      <c r="A52" s="184"/>
      <c r="B52" s="184"/>
      <c r="C52" s="184"/>
      <c r="D52" s="184"/>
      <c r="E52" s="184"/>
      <c r="F52" s="184"/>
      <c r="G52" s="184"/>
      <c r="H52" s="184"/>
      <c r="I52" s="184"/>
      <c r="J52" s="184"/>
      <c r="K52" s="184"/>
      <c r="L52" s="373"/>
      <c r="M52" s="375"/>
      <c r="N52" s="377"/>
      <c r="O52" s="170" t="s">
        <v>145</v>
      </c>
      <c r="P52" s="198">
        <f aca="true" t="shared" si="41" ref="P52:W52">MIN(IF($B53,P51+IF(ISNUMBER(O52),O52,0),P53/$N51),1)</f>
        <v>0</v>
      </c>
      <c r="Q52" s="168">
        <f t="shared" si="41"/>
        <v>1</v>
      </c>
      <c r="R52" s="168">
        <f t="shared" si="41"/>
        <v>1</v>
      </c>
      <c r="S52" s="168">
        <f t="shared" si="41"/>
        <v>1</v>
      </c>
      <c r="T52" s="168">
        <f t="shared" si="41"/>
        <v>1</v>
      </c>
      <c r="U52" s="168">
        <f t="shared" si="41"/>
        <v>1</v>
      </c>
      <c r="V52" s="168">
        <f t="shared" si="41"/>
        <v>1</v>
      </c>
      <c r="W52" s="168">
        <f t="shared" si="41"/>
        <v>1</v>
      </c>
      <c r="X52" s="196"/>
      <c r="AC52" s="168">
        <f>MIN(IF($B53,AC51+IF(ISNUMBER(AB52),AB52,0),AC53/$N51),1)</f>
        <v>0</v>
      </c>
    </row>
    <row r="53" spans="1:29" ht="14.25">
      <c r="A53" s="184">
        <f ca="1">OFFSET(A53,-CFF.NumLinha,0)+1</f>
        <v>12</v>
      </c>
      <c r="B53" s="184" t="b">
        <f ca="1">$C53&gt;=OFFSET($C53,CFF.NumLinha,0)</f>
        <v>1</v>
      </c>
      <c r="C53" s="184">
        <f>INDEX(PO!A$12:A$167,MATCH($A53,PO!$V$12:$V$167,0))</f>
        <v>2</v>
      </c>
      <c r="D53" s="184">
        <f>IF(ISERROR(J53),I53,SMALL(I53:J53,1))-1</f>
        <v>2</v>
      </c>
      <c r="E53" s="184">
        <f ca="1">IF($C53=1,OFFSET(E53,-CFF.NumLinha,0)+1,OFFSET(E53,-CFF.NumLinha,0))</f>
        <v>6</v>
      </c>
      <c r="F53" s="184">
        <f ca="1">IF($C53=1,0,IF($C53=2,OFFSET(F53,-CFF.NumLinha,0)+1,OFFSET(F53,-CFF.NumLinha,0)))</f>
        <v>1</v>
      </c>
      <c r="G53" s="184">
        <f ca="1">IF(AND($C53&lt;=2,$C53&lt;&gt;0),0,IF($C53=3,OFFSET(G53,-CFF.NumLinha,0)+1,OFFSET(G53,-CFF.NumLinha,0)))</f>
        <v>0</v>
      </c>
      <c r="H53" s="184">
        <f ca="1">IF(AND($C53&lt;=3,$C53&lt;&gt;0),0,IF($C53=4,OFFSET(H53,-CFF.NumLinha,0)+1,OFFSET(H53,-CFF.NumLinha,0)))</f>
        <v>0</v>
      </c>
      <c r="I53" s="184">
        <f ca="1">MATCH(0,OFFSET($D53,1,$C53,ROW($A$135)-ROW($A53)),0)</f>
        <v>12</v>
      </c>
      <c r="J53" s="184">
        <f ca="1">MATCH(OFFSET($D53,0,$C53)+1,OFFSET($D53,1,$C53,ROW($A$135)-ROW($A53)),0)</f>
        <v>3</v>
      </c>
      <c r="K53" s="185">
        <f>ROUND(INDEX(PO!T$12:T$167,MATCH($A53,PO!$V$12:$V$167,0)),2)+10^-12</f>
        <v>1E-12</v>
      </c>
      <c r="L53" s="373"/>
      <c r="M53" s="375"/>
      <c r="N53" s="377"/>
      <c r="O53" s="204" t="s">
        <v>20</v>
      </c>
      <c r="P53" s="199">
        <f aca="true" ca="1" t="shared" si="42" ref="P53:W53">IF($B53,ROUND(P52*$N51,2),ROUND(SUMIF(OFFSET($B53,1,0,$D53),TRUE,OFFSET(P53,1,0,$D53))/SUMIF(OFFSET($B53,1,0,$D53),TRUE,OFFSET($K53,1,0,$D53))*$N51,2))</f>
        <v>0</v>
      </c>
      <c r="Q53" s="169">
        <f ca="1" t="shared" si="42"/>
        <v>0</v>
      </c>
      <c r="R53" s="169">
        <f ca="1" t="shared" si="42"/>
        <v>0</v>
      </c>
      <c r="S53" s="169">
        <f ca="1" t="shared" si="42"/>
        <v>0</v>
      </c>
      <c r="T53" s="169">
        <f ca="1" t="shared" si="42"/>
        <v>0</v>
      </c>
      <c r="U53" s="169">
        <f ca="1" t="shared" si="42"/>
        <v>0</v>
      </c>
      <c r="V53" s="169">
        <f ca="1" t="shared" si="42"/>
        <v>0</v>
      </c>
      <c r="W53" s="207">
        <f ca="1" t="shared" si="42"/>
        <v>0</v>
      </c>
      <c r="X53" s="196"/>
      <c r="AC53" s="169">
        <f ca="1">IF($B53,ROUND(AC52*$N51,2),ROUND(SUMIF(OFFSET($B53,1,0,$D53),TRUE,OFFSET(AC53,1,0,$D53))/SUMIF(OFFSET($B53,1,0,$D53),TRUE,OFFSET($K53,1,0,$D53))*$N51,2))</f>
        <v>0</v>
      </c>
    </row>
    <row r="54" spans="1:29" ht="14.25" customHeight="1">
      <c r="A54" s="82"/>
      <c r="B54" s="82"/>
      <c r="C54" s="82"/>
      <c r="D54" s="82"/>
      <c r="E54" s="82"/>
      <c r="F54" s="82"/>
      <c r="G54" s="82"/>
      <c r="H54" s="82"/>
      <c r="I54" s="82"/>
      <c r="J54" s="82"/>
      <c r="K54" s="82"/>
      <c r="L54" s="372" t="str">
        <f>INDEX(PO!K$12:K$167,MATCH($A56,PO!$V$12:$V$167,0))</f>
        <v>6.2.</v>
      </c>
      <c r="M54" s="374" t="str">
        <f>INDEX(PO!N$12:N$167,MATCH($A56,PO!$V$12:$V$167,0))</f>
        <v>REVESTIMENTO DO PISO EXTERNO</v>
      </c>
      <c r="N54" s="376">
        <f>IF(ROUND(K56,2)=0,K56,ROUND(K56,2))</f>
        <v>1E-12</v>
      </c>
      <c r="O54" s="220" t="s">
        <v>143</v>
      </c>
      <c r="P54" s="226">
        <f>IF($B56,0,P55-IF(ISNUMBER(O55),O55,0))</f>
        <v>0</v>
      </c>
      <c r="Q54" s="227">
        <v>0.5</v>
      </c>
      <c r="R54" s="227">
        <v>0.5</v>
      </c>
      <c r="S54" s="227">
        <f>IF($B56,0,S55-IF(ISNUMBER(R55),R55,0))</f>
        <v>0</v>
      </c>
      <c r="T54" s="227">
        <f>IF($B56,0,T55-IF(ISNUMBER(S55),S55,0))</f>
        <v>0</v>
      </c>
      <c r="U54" s="227">
        <f>IF($B56,0,U55-IF(ISNUMBER(T55),T55,0))</f>
        <v>0</v>
      </c>
      <c r="V54" s="227">
        <f>IF($B56,0,V55-IF(ISNUMBER(U55),U55,0))</f>
        <v>0</v>
      </c>
      <c r="W54" s="228">
        <f>IF($B56,0,W55-IF(ISNUMBER(V55),V55,0))</f>
        <v>0</v>
      </c>
      <c r="X54" s="196"/>
      <c r="AC54" s="221">
        <f>IF($B56,0,AC55-IF(ISNUMBER(AB55),AB55,0))</f>
        <v>0</v>
      </c>
    </row>
    <row r="55" spans="1:29" ht="14.25">
      <c r="A55" s="184"/>
      <c r="B55" s="184"/>
      <c r="C55" s="184"/>
      <c r="D55" s="184"/>
      <c r="E55" s="184"/>
      <c r="F55" s="184"/>
      <c r="G55" s="184"/>
      <c r="H55" s="184"/>
      <c r="I55" s="184"/>
      <c r="J55" s="184"/>
      <c r="K55" s="184"/>
      <c r="L55" s="373"/>
      <c r="M55" s="375"/>
      <c r="N55" s="377"/>
      <c r="O55" s="170" t="s">
        <v>145</v>
      </c>
      <c r="P55" s="198">
        <f aca="true" t="shared" si="43" ref="P55:W55">MIN(IF($B56,P54+IF(ISNUMBER(O55),O55,0),P56/$N54),1)</f>
        <v>0</v>
      </c>
      <c r="Q55" s="168">
        <f t="shared" si="43"/>
        <v>0.5</v>
      </c>
      <c r="R55" s="168">
        <f t="shared" si="43"/>
        <v>1</v>
      </c>
      <c r="S55" s="168">
        <f t="shared" si="43"/>
        <v>1</v>
      </c>
      <c r="T55" s="168">
        <f t="shared" si="43"/>
        <v>1</v>
      </c>
      <c r="U55" s="168">
        <f t="shared" si="43"/>
        <v>1</v>
      </c>
      <c r="V55" s="168">
        <f t="shared" si="43"/>
        <v>1</v>
      </c>
      <c r="W55" s="168">
        <f t="shared" si="43"/>
        <v>1</v>
      </c>
      <c r="X55" s="196"/>
      <c r="AC55" s="168">
        <f>MIN(IF($B56,AC54+IF(ISNUMBER(AB55),AB55,0),AC56/$N54),1)</f>
        <v>0</v>
      </c>
    </row>
    <row r="56" spans="1:29" ht="14.25">
      <c r="A56" s="184">
        <f ca="1">OFFSET(A56,-CFF.NumLinha,0)+1</f>
        <v>13</v>
      </c>
      <c r="B56" s="184" t="b">
        <f ca="1">$C56&gt;=OFFSET($C56,CFF.NumLinha,0)</f>
        <v>1</v>
      </c>
      <c r="C56" s="184">
        <f>INDEX(PO!A$12:A$167,MATCH($A56,PO!$V$12:$V$167,0))</f>
        <v>2</v>
      </c>
      <c r="D56" s="184">
        <f>IF(ISERROR(J56),I56,SMALL(I56:J56,1))-1</f>
        <v>2</v>
      </c>
      <c r="E56" s="184">
        <f ca="1">IF($C56=1,OFFSET(E56,-CFF.NumLinha,0)+1,OFFSET(E56,-CFF.NumLinha,0))</f>
        <v>6</v>
      </c>
      <c r="F56" s="184">
        <f ca="1">IF($C56=1,0,IF($C56=2,OFFSET(F56,-CFF.NumLinha,0)+1,OFFSET(F56,-CFF.NumLinha,0)))</f>
        <v>2</v>
      </c>
      <c r="G56" s="184">
        <f ca="1">IF(AND($C56&lt;=2,$C56&lt;&gt;0),0,IF($C56=3,OFFSET(G56,-CFF.NumLinha,0)+1,OFFSET(G56,-CFF.NumLinha,0)))</f>
        <v>0</v>
      </c>
      <c r="H56" s="184">
        <f ca="1">IF(AND($C56&lt;=3,$C56&lt;&gt;0),0,IF($C56=4,OFFSET(H56,-CFF.NumLinha,0)+1,OFFSET(H56,-CFF.NumLinha,0)))</f>
        <v>0</v>
      </c>
      <c r="I56" s="184">
        <f ca="1">MATCH(0,OFFSET($D56,1,$C56,ROW($A$135)-ROW($A56)),0)</f>
        <v>9</v>
      </c>
      <c r="J56" s="184">
        <f ca="1">MATCH(OFFSET($D56,0,$C56)+1,OFFSET($D56,1,$C56,ROW($A$135)-ROW($A56)),0)</f>
        <v>3</v>
      </c>
      <c r="K56" s="185">
        <f>ROUND(INDEX(PO!T$12:T$167,MATCH($A56,PO!$V$12:$V$167,0)),2)+10^-12</f>
        <v>1E-12</v>
      </c>
      <c r="L56" s="373"/>
      <c r="M56" s="375"/>
      <c r="N56" s="377"/>
      <c r="O56" s="204" t="s">
        <v>20</v>
      </c>
      <c r="P56" s="199">
        <f aca="true" ca="1" t="shared" si="44" ref="P56:W56">IF($B56,ROUND(P55*$N54,2),ROUND(SUMIF(OFFSET($B56,1,0,$D56),TRUE,OFFSET(P56,1,0,$D56))/SUMIF(OFFSET($B56,1,0,$D56),TRUE,OFFSET($K56,1,0,$D56))*$N54,2))</f>
        <v>0</v>
      </c>
      <c r="Q56" s="169">
        <f ca="1" t="shared" si="44"/>
        <v>0</v>
      </c>
      <c r="R56" s="169">
        <f ca="1" t="shared" si="44"/>
        <v>0</v>
      </c>
      <c r="S56" s="169">
        <f ca="1" t="shared" si="44"/>
        <v>0</v>
      </c>
      <c r="T56" s="169">
        <f ca="1" t="shared" si="44"/>
        <v>0</v>
      </c>
      <c r="U56" s="169">
        <f ca="1" t="shared" si="44"/>
        <v>0</v>
      </c>
      <c r="V56" s="169">
        <f ca="1" t="shared" si="44"/>
        <v>0</v>
      </c>
      <c r="W56" s="207">
        <f ca="1" t="shared" si="44"/>
        <v>0</v>
      </c>
      <c r="X56" s="196"/>
      <c r="AC56" s="169">
        <f ca="1">IF($B56,ROUND(AC55*$N54,2),ROUND(SUMIF(OFFSET($B56,1,0,$D56),TRUE,OFFSET(AC56,1,0,$D56))/SUMIF(OFFSET($B56,1,0,$D56),TRUE,OFFSET($K56,1,0,$D56))*$N54,2))</f>
        <v>0</v>
      </c>
    </row>
    <row r="57" spans="1:29" ht="14.25" customHeight="1">
      <c r="A57" s="82"/>
      <c r="B57" s="82"/>
      <c r="C57" s="82"/>
      <c r="D57" s="82"/>
      <c r="E57" s="82"/>
      <c r="F57" s="82"/>
      <c r="G57" s="82"/>
      <c r="H57" s="82"/>
      <c r="I57" s="82"/>
      <c r="J57" s="82"/>
      <c r="K57" s="82"/>
      <c r="L57" s="372" t="str">
        <f>INDEX(PO!K$12:K$167,MATCH($A59,PO!$V$12:$V$167,0))</f>
        <v>6.3.</v>
      </c>
      <c r="M57" s="374" t="str">
        <f>INDEX(PO!N$12:N$167,MATCH($A59,PO!$V$12:$V$167,0))</f>
        <v>REVESTIMENTO DAS PAREDES INTERNAS</v>
      </c>
      <c r="N57" s="376">
        <f>IF(ROUND(K59,2)=0,K59,ROUND(K59,2))</f>
        <v>1E-12</v>
      </c>
      <c r="O57" s="220" t="s">
        <v>143</v>
      </c>
      <c r="P57" s="226">
        <f>IF($B59,0,P58-IF(ISNUMBER(O58),O58,0))</f>
        <v>0</v>
      </c>
      <c r="Q57" s="227">
        <v>0.5</v>
      </c>
      <c r="R57" s="227">
        <v>0.5</v>
      </c>
      <c r="S57" s="227">
        <f>IF($B59,0,S58-IF(ISNUMBER(R58),R58,0))</f>
        <v>0</v>
      </c>
      <c r="T57" s="227">
        <f>IF($B59,0,T58-IF(ISNUMBER(S58),S58,0))</f>
        <v>0</v>
      </c>
      <c r="U57" s="227">
        <f>IF($B59,0,U58-IF(ISNUMBER(T58),T58,0))</f>
        <v>0</v>
      </c>
      <c r="V57" s="227">
        <f>IF($B59,0,V58-IF(ISNUMBER(U58),U58,0))</f>
        <v>0</v>
      </c>
      <c r="W57" s="228">
        <f>IF($B59,0,W58-IF(ISNUMBER(V58),V58,0))</f>
        <v>0</v>
      </c>
      <c r="X57" s="196"/>
      <c r="AC57" s="221">
        <f>IF($B59,0,AC58-IF(ISNUMBER(AB58),AB58,0))</f>
        <v>0</v>
      </c>
    </row>
    <row r="58" spans="1:29" ht="14.25">
      <c r="A58" s="184"/>
      <c r="B58" s="184"/>
      <c r="C58" s="184"/>
      <c r="D58" s="184"/>
      <c r="E58" s="184"/>
      <c r="F58" s="184"/>
      <c r="G58" s="184"/>
      <c r="H58" s="184"/>
      <c r="I58" s="184"/>
      <c r="J58" s="184"/>
      <c r="K58" s="184"/>
      <c r="L58" s="373"/>
      <c r="M58" s="375"/>
      <c r="N58" s="377"/>
      <c r="O58" s="170" t="s">
        <v>145</v>
      </c>
      <c r="P58" s="198">
        <f aca="true" t="shared" si="45" ref="P58:W58">MIN(IF($B59,P57+IF(ISNUMBER(O58),O58,0),P59/$N57),1)</f>
        <v>0</v>
      </c>
      <c r="Q58" s="168">
        <f t="shared" si="45"/>
        <v>0.5</v>
      </c>
      <c r="R58" s="168">
        <f t="shared" si="45"/>
        <v>1</v>
      </c>
      <c r="S58" s="168">
        <f t="shared" si="45"/>
        <v>1</v>
      </c>
      <c r="T58" s="168">
        <f t="shared" si="45"/>
        <v>1</v>
      </c>
      <c r="U58" s="168">
        <f t="shared" si="45"/>
        <v>1</v>
      </c>
      <c r="V58" s="168">
        <f t="shared" si="45"/>
        <v>1</v>
      </c>
      <c r="W58" s="168">
        <f t="shared" si="45"/>
        <v>1</v>
      </c>
      <c r="X58" s="196"/>
      <c r="AC58" s="168">
        <f>MIN(IF($B59,AC57+IF(ISNUMBER(AB58),AB58,0),AC59/$N57),1)</f>
        <v>0</v>
      </c>
    </row>
    <row r="59" spans="1:29" ht="14.25">
      <c r="A59" s="184">
        <f ca="1">OFFSET(A59,-CFF.NumLinha,0)+1</f>
        <v>14</v>
      </c>
      <c r="B59" s="184" t="b">
        <f ca="1">$C59&gt;=OFFSET($C59,CFF.NumLinha,0)</f>
        <v>1</v>
      </c>
      <c r="C59" s="184">
        <f>INDEX(PO!A$12:A$167,MATCH($A59,PO!$V$12:$V$167,0))</f>
        <v>2</v>
      </c>
      <c r="D59" s="184">
        <f>IF(ISERROR(J59),I59,SMALL(I59:J59,1))-1</f>
        <v>2</v>
      </c>
      <c r="E59" s="184">
        <f ca="1">IF($C59=1,OFFSET(E59,-CFF.NumLinha,0)+1,OFFSET(E59,-CFF.NumLinha,0))</f>
        <v>6</v>
      </c>
      <c r="F59" s="184">
        <f ca="1">IF($C59=1,0,IF($C59=2,OFFSET(F59,-CFF.NumLinha,0)+1,OFFSET(F59,-CFF.NumLinha,0)))</f>
        <v>3</v>
      </c>
      <c r="G59" s="184">
        <f ca="1">IF(AND($C59&lt;=2,$C59&lt;&gt;0),0,IF($C59=3,OFFSET(G59,-CFF.NumLinha,0)+1,OFFSET(G59,-CFF.NumLinha,0)))</f>
        <v>0</v>
      </c>
      <c r="H59" s="184">
        <f ca="1">IF(AND($C59&lt;=3,$C59&lt;&gt;0),0,IF($C59=4,OFFSET(H59,-CFF.NumLinha,0)+1,OFFSET(H59,-CFF.NumLinha,0)))</f>
        <v>0</v>
      </c>
      <c r="I59" s="184">
        <f ca="1">MATCH(0,OFFSET($D59,1,$C59,ROW($A$135)-ROW($A59)),0)</f>
        <v>6</v>
      </c>
      <c r="J59" s="184">
        <f ca="1">MATCH(OFFSET($D59,0,$C59)+1,OFFSET($D59,1,$C59,ROW($A$135)-ROW($A59)),0)</f>
        <v>3</v>
      </c>
      <c r="K59" s="185">
        <f>ROUND(INDEX(PO!T$12:T$167,MATCH($A59,PO!$V$12:$V$167,0)),2)+10^-12</f>
        <v>1E-12</v>
      </c>
      <c r="L59" s="373"/>
      <c r="M59" s="375"/>
      <c r="N59" s="377"/>
      <c r="O59" s="204" t="s">
        <v>20</v>
      </c>
      <c r="P59" s="199">
        <f aca="true" ca="1" t="shared" si="46" ref="P59:W59">IF($B59,ROUND(P58*$N57,2),ROUND(SUMIF(OFFSET($B59,1,0,$D59),TRUE,OFFSET(P59,1,0,$D59))/SUMIF(OFFSET($B59,1,0,$D59),TRUE,OFFSET($K59,1,0,$D59))*$N57,2))</f>
        <v>0</v>
      </c>
      <c r="Q59" s="169">
        <f ca="1" t="shared" si="46"/>
        <v>0</v>
      </c>
      <c r="R59" s="169">
        <f ca="1" t="shared" si="46"/>
        <v>0</v>
      </c>
      <c r="S59" s="169">
        <f ca="1" t="shared" si="46"/>
        <v>0</v>
      </c>
      <c r="T59" s="169">
        <f ca="1" t="shared" si="46"/>
        <v>0</v>
      </c>
      <c r="U59" s="169">
        <f ca="1" t="shared" si="46"/>
        <v>0</v>
      </c>
      <c r="V59" s="169">
        <f ca="1" t="shared" si="46"/>
        <v>0</v>
      </c>
      <c r="W59" s="207">
        <f ca="1" t="shared" si="46"/>
        <v>0</v>
      </c>
      <c r="X59" s="196"/>
      <c r="AC59" s="169">
        <f ca="1">IF($B59,ROUND(AC58*$N57,2),ROUND(SUMIF(OFFSET($B59,1,0,$D59),TRUE,OFFSET(AC59,1,0,$D59))/SUMIF(OFFSET($B59,1,0,$D59),TRUE,OFFSET($K59,1,0,$D59))*$N57,2))</f>
        <v>0</v>
      </c>
    </row>
    <row r="60" spans="1:29" ht="14.25" customHeight="1">
      <c r="A60" s="82"/>
      <c r="B60" s="82"/>
      <c r="C60" s="82"/>
      <c r="D60" s="82"/>
      <c r="E60" s="82"/>
      <c r="F60" s="82"/>
      <c r="G60" s="82"/>
      <c r="H60" s="82"/>
      <c r="I60" s="82"/>
      <c r="J60" s="82"/>
      <c r="K60" s="82"/>
      <c r="L60" s="372" t="str">
        <f>INDEX(PO!K$12:K$167,MATCH($A62,PO!$V$12:$V$167,0))</f>
        <v>6.4.</v>
      </c>
      <c r="M60" s="374" t="str">
        <f>INDEX(PO!N$12:N$167,MATCH($A62,PO!$V$12:$V$167,0))</f>
        <v>INSTALAÇÃO DE FORRO</v>
      </c>
      <c r="N60" s="376">
        <f>IF(ROUND(K62,2)=0,K62,ROUND(K62,2))</f>
        <v>1E-12</v>
      </c>
      <c r="O60" s="220" t="s">
        <v>143</v>
      </c>
      <c r="P60" s="226">
        <f>IF($B62,0,P61-IF(ISNUMBER(O61),O61,0))</f>
        <v>0</v>
      </c>
      <c r="Q60" s="227">
        <f>IF($B62,0,Q61-IF(ISNUMBER(P61),P61,0))</f>
        <v>0</v>
      </c>
      <c r="R60" s="227">
        <v>1</v>
      </c>
      <c r="S60" s="227">
        <f>IF($B62,0,S61-IF(ISNUMBER(R61),R61,0))</f>
        <v>0</v>
      </c>
      <c r="T60" s="227">
        <f>IF($B62,0,T61-IF(ISNUMBER(S61),S61,0))</f>
        <v>0</v>
      </c>
      <c r="U60" s="227">
        <f>IF($B62,0,U61-IF(ISNUMBER(T61),T61,0))</f>
        <v>0</v>
      </c>
      <c r="V60" s="227">
        <f>IF($B62,0,V61-IF(ISNUMBER(U61),U61,0))</f>
        <v>0</v>
      </c>
      <c r="W60" s="228">
        <f>IF($B62,0,W61-IF(ISNUMBER(V61),V61,0))</f>
        <v>0</v>
      </c>
      <c r="X60" s="196"/>
      <c r="AC60" s="221">
        <f>IF($B62,0,AC61-IF(ISNUMBER(AB61),AB61,0))</f>
        <v>0</v>
      </c>
    </row>
    <row r="61" spans="1:29" ht="14.25">
      <c r="A61" s="184"/>
      <c r="B61" s="184"/>
      <c r="C61" s="184"/>
      <c r="D61" s="184"/>
      <c r="E61" s="184"/>
      <c r="F61" s="184"/>
      <c r="G61" s="184"/>
      <c r="H61" s="184"/>
      <c r="I61" s="184"/>
      <c r="J61" s="184"/>
      <c r="K61" s="184"/>
      <c r="L61" s="373"/>
      <c r="M61" s="375"/>
      <c r="N61" s="377"/>
      <c r="O61" s="170" t="s">
        <v>145</v>
      </c>
      <c r="P61" s="198">
        <f aca="true" t="shared" si="47" ref="P61:W61">MIN(IF($B62,P60+IF(ISNUMBER(O61),O61,0),P62/$N60),1)</f>
        <v>0</v>
      </c>
      <c r="Q61" s="168">
        <f t="shared" si="47"/>
        <v>0</v>
      </c>
      <c r="R61" s="168">
        <f t="shared" si="47"/>
        <v>1</v>
      </c>
      <c r="S61" s="168">
        <f t="shared" si="47"/>
        <v>1</v>
      </c>
      <c r="T61" s="168">
        <f t="shared" si="47"/>
        <v>1</v>
      </c>
      <c r="U61" s="168">
        <f t="shared" si="47"/>
        <v>1</v>
      </c>
      <c r="V61" s="168">
        <f t="shared" si="47"/>
        <v>1</v>
      </c>
      <c r="W61" s="168">
        <f t="shared" si="47"/>
        <v>1</v>
      </c>
      <c r="X61" s="196"/>
      <c r="AC61" s="168">
        <f>MIN(IF($B62,AC60+IF(ISNUMBER(AB61),AB61,0),AC62/$N60),1)</f>
        <v>0</v>
      </c>
    </row>
    <row r="62" spans="1:29" ht="14.25">
      <c r="A62" s="184">
        <f ca="1">OFFSET(A62,-CFF.NumLinha,0)+1</f>
        <v>15</v>
      </c>
      <c r="B62" s="184" t="b">
        <f ca="1">$C62&gt;=OFFSET($C62,CFF.NumLinha,0)</f>
        <v>1</v>
      </c>
      <c r="C62" s="184">
        <f>INDEX(PO!A$12:A$167,MATCH($A62,PO!$V$12:$V$167,0))</f>
        <v>2</v>
      </c>
      <c r="D62" s="184">
        <f>IF(ISERROR(J62),I62,SMALL(I62:J62,1))-1</f>
        <v>2</v>
      </c>
      <c r="E62" s="184">
        <f ca="1">IF($C62=1,OFFSET(E62,-CFF.NumLinha,0)+1,OFFSET(E62,-CFF.NumLinha,0))</f>
        <v>6</v>
      </c>
      <c r="F62" s="184">
        <f ca="1">IF($C62=1,0,IF($C62=2,OFFSET(F62,-CFF.NumLinha,0)+1,OFFSET(F62,-CFF.NumLinha,0)))</f>
        <v>4</v>
      </c>
      <c r="G62" s="184">
        <f ca="1">IF(AND($C62&lt;=2,$C62&lt;&gt;0),0,IF($C62=3,OFFSET(G62,-CFF.NumLinha,0)+1,OFFSET(G62,-CFF.NumLinha,0)))</f>
        <v>0</v>
      </c>
      <c r="H62" s="184">
        <f ca="1">IF(AND($C62&lt;=3,$C62&lt;&gt;0),0,IF($C62=4,OFFSET(H62,-CFF.NumLinha,0)+1,OFFSET(H62,-CFF.NumLinha,0)))</f>
        <v>0</v>
      </c>
      <c r="I62" s="184">
        <f ca="1">MATCH(0,OFFSET($D62,1,$C62,ROW($A$135)-ROW($A62)),0)</f>
        <v>3</v>
      </c>
      <c r="J62" s="184">
        <f ca="1">MATCH(OFFSET($D62,0,$C62)+1,OFFSET($D62,1,$C62,ROW($A$135)-ROW($A62)),0)</f>
        <v>51</v>
      </c>
      <c r="K62" s="185">
        <f>ROUND(INDEX(PO!T$12:T$167,MATCH($A62,PO!$V$12:$V$167,0)),2)+10^-12</f>
        <v>1E-12</v>
      </c>
      <c r="L62" s="373"/>
      <c r="M62" s="375"/>
      <c r="N62" s="377"/>
      <c r="O62" s="204" t="s">
        <v>20</v>
      </c>
      <c r="P62" s="199">
        <f aca="true" ca="1" t="shared" si="48" ref="P62:W62">IF($B62,ROUND(P61*$N60,2),ROUND(SUMIF(OFFSET($B62,1,0,$D62),TRUE,OFFSET(P62,1,0,$D62))/SUMIF(OFFSET($B62,1,0,$D62),TRUE,OFFSET($K62,1,0,$D62))*$N60,2))</f>
        <v>0</v>
      </c>
      <c r="Q62" s="169">
        <f ca="1" t="shared" si="48"/>
        <v>0</v>
      </c>
      <c r="R62" s="169">
        <f ca="1" t="shared" si="48"/>
        <v>0</v>
      </c>
      <c r="S62" s="169">
        <f ca="1" t="shared" si="48"/>
        <v>0</v>
      </c>
      <c r="T62" s="169">
        <f ca="1" t="shared" si="48"/>
        <v>0</v>
      </c>
      <c r="U62" s="169">
        <f ca="1" t="shared" si="48"/>
        <v>0</v>
      </c>
      <c r="V62" s="169">
        <f ca="1" t="shared" si="48"/>
        <v>0</v>
      </c>
      <c r="W62" s="207">
        <f ca="1" t="shared" si="48"/>
        <v>0</v>
      </c>
      <c r="X62" s="196"/>
      <c r="AC62" s="169">
        <f ca="1">IF($B62,ROUND(AC61*$N60,2),ROUND(SUMIF(OFFSET($B62,1,0,$D62),TRUE,OFFSET(AC62,1,0,$D62))/SUMIF(OFFSET($B62,1,0,$D62),TRUE,OFFSET($K62,1,0,$D62))*$N60,2))</f>
        <v>0</v>
      </c>
    </row>
    <row r="63" spans="1:29" ht="14.25" customHeight="1">
      <c r="A63" s="82"/>
      <c r="B63" s="82"/>
      <c r="C63" s="82"/>
      <c r="D63" s="82"/>
      <c r="E63" s="82"/>
      <c r="F63" s="82"/>
      <c r="G63" s="82"/>
      <c r="H63" s="82"/>
      <c r="I63" s="82"/>
      <c r="J63" s="82"/>
      <c r="K63" s="82"/>
      <c r="L63" s="372" t="str">
        <f>INDEX(PO!K$12:K$167,MATCH($A65,PO!$V$12:$V$167,0))</f>
        <v>7.</v>
      </c>
      <c r="M63" s="374" t="str">
        <f>INDEX(PO!N$12:N$167,MATCH($A65,PO!$V$12:$V$167,0))</f>
        <v>INSTALAÇÕES EM GERAL </v>
      </c>
      <c r="N63" s="376">
        <f>IF(ROUND(K65,2)=0,K65,ROUND(K65,2))</f>
        <v>1E-12</v>
      </c>
      <c r="O63" s="220" t="s">
        <v>143</v>
      </c>
      <c r="P63" s="226">
        <f>IF($B65,0,P64-IF(ISNUMBER(O64),O64,0))</f>
        <v>0</v>
      </c>
      <c r="Q63" s="227">
        <f>IF($B65,0,Q64-IF(ISNUMBER(P64),P64,0))</f>
        <v>0</v>
      </c>
      <c r="R63" s="227">
        <v>1</v>
      </c>
      <c r="S63" s="227">
        <f>IF($B65,0,S64-IF(ISNUMBER(R64),R64,0))</f>
        <v>0</v>
      </c>
      <c r="T63" s="227">
        <f>IF($B65,0,T64-IF(ISNUMBER(S64),S64,0))</f>
        <v>0</v>
      </c>
      <c r="U63" s="227">
        <f>IF($B65,0,U64-IF(ISNUMBER(T64),T64,0))</f>
        <v>0</v>
      </c>
      <c r="V63" s="227">
        <f>IF($B65,0,V64-IF(ISNUMBER(U64),U64,0))</f>
        <v>0</v>
      </c>
      <c r="W63" s="228">
        <f>IF($B65,0,W64-IF(ISNUMBER(V64),V64,0))</f>
        <v>0</v>
      </c>
      <c r="X63" s="196"/>
      <c r="AC63" s="221">
        <f>IF($B65,0,AC64-IF(ISNUMBER(AB64),AB64,0))</f>
        <v>0</v>
      </c>
    </row>
    <row r="64" spans="1:29" ht="14.25">
      <c r="A64" s="184"/>
      <c r="B64" s="184"/>
      <c r="C64" s="184"/>
      <c r="D64" s="184"/>
      <c r="E64" s="184"/>
      <c r="F64" s="184"/>
      <c r="G64" s="184"/>
      <c r="H64" s="184"/>
      <c r="I64" s="184"/>
      <c r="J64" s="184"/>
      <c r="K64" s="184"/>
      <c r="L64" s="373"/>
      <c r="M64" s="375"/>
      <c r="N64" s="377"/>
      <c r="O64" s="170" t="s">
        <v>145</v>
      </c>
      <c r="P64" s="198">
        <f aca="true" t="shared" si="49" ref="P64:W64">MIN(IF($B65,P63+IF(ISNUMBER(O64),O64,0),P65/$N63),1)</f>
        <v>0</v>
      </c>
      <c r="Q64" s="168">
        <f t="shared" si="49"/>
        <v>0</v>
      </c>
      <c r="R64" s="168">
        <f t="shared" si="49"/>
        <v>0</v>
      </c>
      <c r="S64" s="168">
        <f t="shared" si="49"/>
        <v>0</v>
      </c>
      <c r="T64" s="168">
        <f t="shared" si="49"/>
        <v>0</v>
      </c>
      <c r="U64" s="168">
        <f t="shared" si="49"/>
        <v>0</v>
      </c>
      <c r="V64" s="168">
        <f t="shared" si="49"/>
        <v>0</v>
      </c>
      <c r="W64" s="168">
        <f t="shared" si="49"/>
        <v>0</v>
      </c>
      <c r="X64" s="196"/>
      <c r="AC64" s="168">
        <f>MIN(IF($B65,AC63+IF(ISNUMBER(AB64),AB64,0),AC65/$N63),1)</f>
        <v>0</v>
      </c>
    </row>
    <row r="65" spans="1:29" ht="14.25">
      <c r="A65" s="184">
        <f ca="1">OFFSET(A65,-CFF.NumLinha,0)+1</f>
        <v>16</v>
      </c>
      <c r="B65" s="184" t="b">
        <f ca="1">$C65&gt;=OFFSET($C65,CFF.NumLinha,0)</f>
        <v>0</v>
      </c>
      <c r="C65" s="184">
        <f>INDEX(PO!A$12:A$167,MATCH($A65,PO!$V$12:$V$167,0))</f>
        <v>1</v>
      </c>
      <c r="D65" s="184">
        <f>IF(ISERROR(J65),I65,SMALL(I65:J65,1))-1</f>
        <v>14</v>
      </c>
      <c r="E65" s="184">
        <f ca="1">IF($C65=1,OFFSET(E65,-CFF.NumLinha,0)+1,OFFSET(E65,-CFF.NumLinha,0))</f>
        <v>7</v>
      </c>
      <c r="F65" s="184">
        <f ca="1">IF($C65=1,0,IF($C65=2,OFFSET(F65,-CFF.NumLinha,0)+1,OFFSET(F65,-CFF.NumLinha,0)))</f>
        <v>0</v>
      </c>
      <c r="G65" s="184">
        <f ca="1">IF(AND($C65&lt;=2,$C65&lt;&gt;0),0,IF($C65=3,OFFSET(G65,-CFF.NumLinha,0)+1,OFFSET(G65,-CFF.NumLinha,0)))</f>
        <v>0</v>
      </c>
      <c r="H65" s="184">
        <f ca="1">IF(AND($C65&lt;=3,$C65&lt;&gt;0),0,IF($C65=4,OFFSET(H65,-CFF.NumLinha,0)+1,OFFSET(H65,-CFF.NumLinha,0)))</f>
        <v>0</v>
      </c>
      <c r="I65" s="184">
        <f ca="1">MATCH(0,OFFSET($D65,1,$C65,ROW($A$135)-ROW($A65)),0)</f>
        <v>70</v>
      </c>
      <c r="J65" s="184">
        <f ca="1">MATCH(OFFSET($D65,0,$C65)+1,OFFSET($D65,1,$C65,ROW($A$135)-ROW($A65)),0)</f>
        <v>15</v>
      </c>
      <c r="K65" s="185">
        <f>ROUND(INDEX(PO!T$12:T$167,MATCH($A65,PO!$V$12:$V$167,0)),2)+10^-12</f>
        <v>1E-12</v>
      </c>
      <c r="L65" s="373"/>
      <c r="M65" s="375"/>
      <c r="N65" s="377"/>
      <c r="O65" s="204" t="s">
        <v>20</v>
      </c>
      <c r="P65" s="199">
        <f aca="true" ca="1" t="shared" si="50" ref="P65:W65">IF($B65,ROUND(P64*$N63,2),ROUND(SUMIF(OFFSET($B65,1,0,$D65),TRUE,OFFSET(P65,1,0,$D65))/SUMIF(OFFSET($B65,1,0,$D65),TRUE,OFFSET($K65,1,0,$D65))*$N63,2))</f>
        <v>0</v>
      </c>
      <c r="Q65" s="169">
        <f ca="1" t="shared" si="50"/>
        <v>0</v>
      </c>
      <c r="R65" s="169">
        <f ca="1" t="shared" si="50"/>
        <v>0</v>
      </c>
      <c r="S65" s="169">
        <f ca="1" t="shared" si="50"/>
        <v>0</v>
      </c>
      <c r="T65" s="169">
        <f ca="1" t="shared" si="50"/>
        <v>0</v>
      </c>
      <c r="U65" s="169">
        <f ca="1" t="shared" si="50"/>
        <v>0</v>
      </c>
      <c r="V65" s="169">
        <f ca="1" t="shared" si="50"/>
        <v>0</v>
      </c>
      <c r="W65" s="207">
        <f ca="1" t="shared" si="50"/>
        <v>0</v>
      </c>
      <c r="X65" s="196"/>
      <c r="AC65" s="169">
        <f ca="1">IF($B65,ROUND(AC64*$N63,2),ROUND(SUMIF(OFFSET($B65,1,0,$D65),TRUE,OFFSET(AC65,1,0,$D65))/SUMIF(OFFSET($B65,1,0,$D65),TRUE,OFFSET($K65,1,0,$D65))*$N63,2))</f>
        <v>0</v>
      </c>
    </row>
    <row r="66" spans="1:29" ht="14.25" customHeight="1">
      <c r="A66" s="82"/>
      <c r="B66" s="82"/>
      <c r="C66" s="82"/>
      <c r="D66" s="82"/>
      <c r="E66" s="82"/>
      <c r="F66" s="82"/>
      <c r="G66" s="82"/>
      <c r="H66" s="82"/>
      <c r="I66" s="82"/>
      <c r="J66" s="82"/>
      <c r="K66" s="82"/>
      <c r="L66" s="372" t="str">
        <f>INDEX(PO!K$12:K$167,MATCH($A68,PO!$V$12:$V$167,0))</f>
        <v>7.1.</v>
      </c>
      <c r="M66" s="374" t="str">
        <f>INDEX(PO!N$12:N$167,MATCH($A68,PO!$V$12:$V$167,0))</f>
        <v>INSTALAÇÕES HIDRAULICAS </v>
      </c>
      <c r="N66" s="376">
        <f>IF(ROUND(K68,2)=0,K68,ROUND(K68,2))</f>
        <v>1E-12</v>
      </c>
      <c r="O66" s="220" t="s">
        <v>143</v>
      </c>
      <c r="P66" s="226">
        <f>IF($B68,0,P67-IF(ISNUMBER(O67),O67,0))</f>
        <v>0</v>
      </c>
      <c r="Q66" s="227">
        <v>0.5</v>
      </c>
      <c r="R66" s="227">
        <v>0.5</v>
      </c>
      <c r="S66" s="227"/>
      <c r="T66" s="227">
        <f>IF($B68,0,T67-IF(ISNUMBER(S67),S67,0))</f>
        <v>0</v>
      </c>
      <c r="U66" s="227">
        <f>IF($B68,0,U67-IF(ISNUMBER(T67),T67,0))</f>
        <v>0</v>
      </c>
      <c r="V66" s="227">
        <f>IF($B68,0,V67-IF(ISNUMBER(U67),U67,0))</f>
        <v>0</v>
      </c>
      <c r="W66" s="228">
        <f>IF($B68,0,W67-IF(ISNUMBER(V67),V67,0))</f>
        <v>0</v>
      </c>
      <c r="X66" s="196"/>
      <c r="AC66" s="221">
        <f>IF($B68,0,AC67-IF(ISNUMBER(AB67),AB67,0))</f>
        <v>0</v>
      </c>
    </row>
    <row r="67" spans="1:29" ht="14.25">
      <c r="A67" s="184"/>
      <c r="B67" s="184"/>
      <c r="C67" s="184"/>
      <c r="D67" s="184"/>
      <c r="E67" s="184"/>
      <c r="F67" s="184"/>
      <c r="G67" s="184"/>
      <c r="H67" s="184"/>
      <c r="I67" s="184"/>
      <c r="J67" s="184"/>
      <c r="K67" s="184"/>
      <c r="L67" s="373"/>
      <c r="M67" s="375"/>
      <c r="N67" s="377"/>
      <c r="O67" s="170" t="s">
        <v>145</v>
      </c>
      <c r="P67" s="198">
        <f aca="true" t="shared" si="51" ref="P67:W67">MIN(IF($B68,P66+IF(ISNUMBER(O67),O67,0),P68/$N66),1)</f>
        <v>0</v>
      </c>
      <c r="Q67" s="168">
        <f t="shared" si="51"/>
        <v>0.5</v>
      </c>
      <c r="R67" s="168">
        <f t="shared" si="51"/>
        <v>1</v>
      </c>
      <c r="S67" s="168">
        <f t="shared" si="51"/>
        <v>1</v>
      </c>
      <c r="T67" s="168">
        <f t="shared" si="51"/>
        <v>1</v>
      </c>
      <c r="U67" s="168">
        <f t="shared" si="51"/>
        <v>1</v>
      </c>
      <c r="V67" s="168">
        <f t="shared" si="51"/>
        <v>1</v>
      </c>
      <c r="W67" s="168">
        <f t="shared" si="51"/>
        <v>1</v>
      </c>
      <c r="X67" s="196"/>
      <c r="AC67" s="168">
        <f>MIN(IF($B68,AC66+IF(ISNUMBER(AB67),AB67,0),AC68/$N66),1)</f>
        <v>0</v>
      </c>
    </row>
    <row r="68" spans="1:29" ht="14.25">
      <c r="A68" s="184">
        <f ca="1">OFFSET(A68,-CFF.NumLinha,0)+1</f>
        <v>17</v>
      </c>
      <c r="B68" s="184" t="b">
        <f ca="1">$C68&gt;=OFFSET($C68,CFF.NumLinha,0)</f>
        <v>1</v>
      </c>
      <c r="C68" s="184">
        <f>INDEX(PO!A$12:A$167,MATCH($A68,PO!$V$12:$V$167,0))</f>
        <v>2</v>
      </c>
      <c r="D68" s="184">
        <f>IF(ISERROR(J68),I68,SMALL(I68:J68,1))-1</f>
        <v>2</v>
      </c>
      <c r="E68" s="184">
        <f ca="1">IF($C68=1,OFFSET(E68,-CFF.NumLinha,0)+1,OFFSET(E68,-CFF.NumLinha,0))</f>
        <v>7</v>
      </c>
      <c r="F68" s="184">
        <f ca="1">IF($C68=1,0,IF($C68=2,OFFSET(F68,-CFF.NumLinha,0)+1,OFFSET(F68,-CFF.NumLinha,0)))</f>
        <v>1</v>
      </c>
      <c r="G68" s="184">
        <f ca="1">IF(AND($C68&lt;=2,$C68&lt;&gt;0),0,IF($C68=3,OFFSET(G68,-CFF.NumLinha,0)+1,OFFSET(G68,-CFF.NumLinha,0)))</f>
        <v>0</v>
      </c>
      <c r="H68" s="184">
        <f ca="1">IF(AND($C68&lt;=3,$C68&lt;&gt;0),0,IF($C68=4,OFFSET(H68,-CFF.NumLinha,0)+1,OFFSET(H68,-CFF.NumLinha,0)))</f>
        <v>0</v>
      </c>
      <c r="I68" s="184">
        <f ca="1">MATCH(0,OFFSET($D68,1,$C68,ROW($A$135)-ROW($A68)),0)</f>
        <v>12</v>
      </c>
      <c r="J68" s="184">
        <f ca="1">MATCH(OFFSET($D68,0,$C68)+1,OFFSET($D68,1,$C68,ROW($A$135)-ROW($A68)),0)</f>
        <v>3</v>
      </c>
      <c r="K68" s="185">
        <f>ROUND(INDEX(PO!T$12:T$167,MATCH($A68,PO!$V$12:$V$167,0)),2)+10^-12</f>
        <v>1E-12</v>
      </c>
      <c r="L68" s="373"/>
      <c r="M68" s="375"/>
      <c r="N68" s="377"/>
      <c r="O68" s="204" t="s">
        <v>20</v>
      </c>
      <c r="P68" s="199">
        <f aca="true" ca="1" t="shared" si="52" ref="P68:W68">IF($B68,ROUND(P67*$N66,2),ROUND(SUMIF(OFFSET($B68,1,0,$D68),TRUE,OFFSET(P68,1,0,$D68))/SUMIF(OFFSET($B68,1,0,$D68),TRUE,OFFSET($K68,1,0,$D68))*$N66,2))</f>
        <v>0</v>
      </c>
      <c r="Q68" s="169">
        <f ca="1" t="shared" si="52"/>
        <v>0</v>
      </c>
      <c r="R68" s="169">
        <f ca="1" t="shared" si="52"/>
        <v>0</v>
      </c>
      <c r="S68" s="169">
        <f ca="1" t="shared" si="52"/>
        <v>0</v>
      </c>
      <c r="T68" s="169">
        <f ca="1" t="shared" si="52"/>
        <v>0</v>
      </c>
      <c r="U68" s="169">
        <f ca="1" t="shared" si="52"/>
        <v>0</v>
      </c>
      <c r="V68" s="169">
        <f ca="1" t="shared" si="52"/>
        <v>0</v>
      </c>
      <c r="W68" s="207">
        <f ca="1" t="shared" si="52"/>
        <v>0</v>
      </c>
      <c r="X68" s="196"/>
      <c r="AC68" s="169">
        <f ca="1">IF($B68,ROUND(AC67*$N66,2),ROUND(SUMIF(OFFSET($B68,1,0,$D68),TRUE,OFFSET(AC68,1,0,$D68))/SUMIF(OFFSET($B68,1,0,$D68),TRUE,OFFSET($K68,1,0,$D68))*$N66,2))</f>
        <v>0</v>
      </c>
    </row>
    <row r="69" spans="1:29" ht="14.25" customHeight="1">
      <c r="A69" s="82"/>
      <c r="B69" s="82"/>
      <c r="C69" s="82"/>
      <c r="D69" s="82"/>
      <c r="E69" s="82"/>
      <c r="F69" s="82"/>
      <c r="G69" s="82"/>
      <c r="H69" s="82"/>
      <c r="I69" s="82"/>
      <c r="J69" s="82"/>
      <c r="K69" s="82"/>
      <c r="L69" s="372" t="str">
        <f>INDEX(PO!K$12:K$167,MATCH($A71,PO!$V$12:$V$167,0))</f>
        <v>7.2.</v>
      </c>
      <c r="M69" s="374" t="str">
        <f>INDEX(PO!N$12:N$167,MATCH($A71,PO!$V$12:$V$167,0))</f>
        <v>INSTALAÇÕES SANITÁRIAS</v>
      </c>
      <c r="N69" s="376">
        <f>IF(ROUND(K71,2)=0,K71,ROUND(K71,2))</f>
        <v>1E-12</v>
      </c>
      <c r="O69" s="220" t="s">
        <v>143</v>
      </c>
      <c r="P69" s="226">
        <f>IF($B71,0,P70-IF(ISNUMBER(O70),O70,0))</f>
        <v>0</v>
      </c>
      <c r="Q69" s="227">
        <v>0.5</v>
      </c>
      <c r="R69" s="227">
        <v>0.5</v>
      </c>
      <c r="S69" s="227"/>
      <c r="T69" s="227"/>
      <c r="U69" s="227">
        <f>IF($B71,0,U70-IF(ISNUMBER(T70),T70,0))</f>
        <v>0</v>
      </c>
      <c r="V69" s="227">
        <f>IF($B71,0,V70-IF(ISNUMBER(U70),U70,0))</f>
        <v>0</v>
      </c>
      <c r="W69" s="228">
        <f>IF($B71,0,W70-IF(ISNUMBER(V70),V70,0))</f>
        <v>0</v>
      </c>
      <c r="X69" s="196"/>
      <c r="AC69" s="221">
        <f>IF($B71,0,AC70-IF(ISNUMBER(AB70),AB70,0))</f>
        <v>0</v>
      </c>
    </row>
    <row r="70" spans="1:29" ht="14.25">
      <c r="A70" s="184"/>
      <c r="B70" s="184"/>
      <c r="C70" s="184"/>
      <c r="D70" s="184"/>
      <c r="E70" s="184"/>
      <c r="F70" s="184"/>
      <c r="G70" s="184"/>
      <c r="H70" s="184"/>
      <c r="I70" s="184"/>
      <c r="J70" s="184"/>
      <c r="K70" s="184"/>
      <c r="L70" s="373"/>
      <c r="M70" s="375"/>
      <c r="N70" s="377"/>
      <c r="O70" s="170" t="s">
        <v>145</v>
      </c>
      <c r="P70" s="198">
        <f aca="true" t="shared" si="53" ref="P70:W70">MIN(IF($B71,P69+IF(ISNUMBER(O70),O70,0),P71/$N69),1)</f>
        <v>0</v>
      </c>
      <c r="Q70" s="168">
        <f t="shared" si="53"/>
        <v>0.5</v>
      </c>
      <c r="R70" s="168">
        <f t="shared" si="53"/>
        <v>1</v>
      </c>
      <c r="S70" s="168">
        <f t="shared" si="53"/>
        <v>1</v>
      </c>
      <c r="T70" s="168">
        <f t="shared" si="53"/>
        <v>1</v>
      </c>
      <c r="U70" s="168">
        <f t="shared" si="53"/>
        <v>1</v>
      </c>
      <c r="V70" s="168">
        <f t="shared" si="53"/>
        <v>1</v>
      </c>
      <c r="W70" s="168">
        <f t="shared" si="53"/>
        <v>1</v>
      </c>
      <c r="X70" s="196"/>
      <c r="AC70" s="168">
        <f>MIN(IF($B71,AC69+IF(ISNUMBER(AB70),AB70,0),AC71/$N69),1)</f>
        <v>0</v>
      </c>
    </row>
    <row r="71" spans="1:29" ht="14.25">
      <c r="A71" s="184">
        <f ca="1">OFFSET(A71,-CFF.NumLinha,0)+1</f>
        <v>18</v>
      </c>
      <c r="B71" s="184" t="b">
        <f ca="1">$C71&gt;=OFFSET($C71,CFF.NumLinha,0)</f>
        <v>1</v>
      </c>
      <c r="C71" s="184">
        <f>INDEX(PO!A$12:A$167,MATCH($A71,PO!$V$12:$V$167,0))</f>
        <v>2</v>
      </c>
      <c r="D71" s="184">
        <f>IF(ISERROR(J71),I71,SMALL(I71:J71,1))-1</f>
        <v>2</v>
      </c>
      <c r="E71" s="184">
        <f ca="1">IF($C71=1,OFFSET(E71,-CFF.NumLinha,0)+1,OFFSET(E71,-CFF.NumLinha,0))</f>
        <v>7</v>
      </c>
      <c r="F71" s="184">
        <f ca="1">IF($C71=1,0,IF($C71=2,OFFSET(F71,-CFF.NumLinha,0)+1,OFFSET(F71,-CFF.NumLinha,0)))</f>
        <v>2</v>
      </c>
      <c r="G71" s="184">
        <f ca="1">IF(AND($C71&lt;=2,$C71&lt;&gt;0),0,IF($C71=3,OFFSET(G71,-CFF.NumLinha,0)+1,OFFSET(G71,-CFF.NumLinha,0)))</f>
        <v>0</v>
      </c>
      <c r="H71" s="184">
        <f ca="1">IF(AND($C71&lt;=3,$C71&lt;&gt;0),0,IF($C71=4,OFFSET(H71,-CFF.NumLinha,0)+1,OFFSET(H71,-CFF.NumLinha,0)))</f>
        <v>0</v>
      </c>
      <c r="I71" s="184">
        <f ca="1">MATCH(0,OFFSET($D71,1,$C71,ROW($A$135)-ROW($A71)),0)</f>
        <v>9</v>
      </c>
      <c r="J71" s="184">
        <f ca="1">MATCH(OFFSET($D71,0,$C71)+1,OFFSET($D71,1,$C71,ROW($A$135)-ROW($A71)),0)</f>
        <v>3</v>
      </c>
      <c r="K71" s="185">
        <f>ROUND(INDEX(PO!T$12:T$167,MATCH($A71,PO!$V$12:$V$167,0)),2)+10^-12</f>
        <v>1E-12</v>
      </c>
      <c r="L71" s="373"/>
      <c r="M71" s="375"/>
      <c r="N71" s="377"/>
      <c r="O71" s="204" t="s">
        <v>20</v>
      </c>
      <c r="P71" s="199">
        <f aca="true" ca="1" t="shared" si="54" ref="P71:W71">IF($B71,ROUND(P70*$N69,2),ROUND(SUMIF(OFFSET($B71,1,0,$D71),TRUE,OFFSET(P71,1,0,$D71))/SUMIF(OFFSET($B71,1,0,$D71),TRUE,OFFSET($K71,1,0,$D71))*$N69,2))</f>
        <v>0</v>
      </c>
      <c r="Q71" s="169">
        <f ca="1" t="shared" si="54"/>
        <v>0</v>
      </c>
      <c r="R71" s="169">
        <f ca="1" t="shared" si="54"/>
        <v>0</v>
      </c>
      <c r="S71" s="169">
        <f ca="1" t="shared" si="54"/>
        <v>0</v>
      </c>
      <c r="T71" s="169">
        <f ca="1" t="shared" si="54"/>
        <v>0</v>
      </c>
      <c r="U71" s="169">
        <f ca="1" t="shared" si="54"/>
        <v>0</v>
      </c>
      <c r="V71" s="169">
        <f ca="1" t="shared" si="54"/>
        <v>0</v>
      </c>
      <c r="W71" s="207">
        <f ca="1" t="shared" si="54"/>
        <v>0</v>
      </c>
      <c r="X71" s="196"/>
      <c r="AC71" s="169">
        <f ca="1">IF($B71,ROUND(AC70*$N69,2),ROUND(SUMIF(OFFSET($B71,1,0,$D71),TRUE,OFFSET(AC71,1,0,$D71))/SUMIF(OFFSET($B71,1,0,$D71),TRUE,OFFSET($K71,1,0,$D71))*$N69,2))</f>
        <v>0</v>
      </c>
    </row>
    <row r="72" spans="1:29" ht="14.25" customHeight="1">
      <c r="A72" s="82"/>
      <c r="B72" s="82"/>
      <c r="C72" s="82"/>
      <c r="D72" s="82"/>
      <c r="E72" s="82"/>
      <c r="F72" s="82"/>
      <c r="G72" s="82"/>
      <c r="H72" s="82"/>
      <c r="I72" s="82"/>
      <c r="J72" s="82"/>
      <c r="K72" s="82"/>
      <c r="L72" s="372" t="str">
        <f>INDEX(PO!K$12:K$167,MATCH($A74,PO!$V$12:$V$167,0))</f>
        <v>7.3.</v>
      </c>
      <c r="M72" s="374" t="str">
        <f>INDEX(PO!N$12:N$167,MATCH($A74,PO!$V$12:$V$167,0))</f>
        <v>INSTALAÇÕES ELÉTRICAS </v>
      </c>
      <c r="N72" s="376">
        <f>IF(ROUND(K74,2)=0,K74,ROUND(K74,2))</f>
        <v>1E-12</v>
      </c>
      <c r="O72" s="220" t="s">
        <v>143</v>
      </c>
      <c r="P72" s="226">
        <f aca="true" t="shared" si="55" ref="P72:W72">IF($B74,0,P73-IF(ISNUMBER(O73),O73,0))</f>
        <v>0</v>
      </c>
      <c r="Q72" s="227">
        <v>0.5</v>
      </c>
      <c r="R72" s="227">
        <v>0.5</v>
      </c>
      <c r="S72" s="227">
        <f t="shared" si="55"/>
        <v>0</v>
      </c>
      <c r="T72" s="227">
        <f t="shared" si="55"/>
        <v>0</v>
      </c>
      <c r="U72" s="227">
        <f t="shared" si="55"/>
        <v>0</v>
      </c>
      <c r="V72" s="227">
        <f t="shared" si="55"/>
        <v>0</v>
      </c>
      <c r="W72" s="228">
        <f t="shared" si="55"/>
        <v>0</v>
      </c>
      <c r="X72" s="196"/>
      <c r="AC72" s="221">
        <f>IF($B74,0,AC73-IF(ISNUMBER(AB73),AB73,0))</f>
        <v>0</v>
      </c>
    </row>
    <row r="73" spans="1:29" ht="14.25">
      <c r="A73" s="184"/>
      <c r="B73" s="184"/>
      <c r="C73" s="184"/>
      <c r="D73" s="184"/>
      <c r="E73" s="184"/>
      <c r="F73" s="184"/>
      <c r="G73" s="184"/>
      <c r="H73" s="184"/>
      <c r="I73" s="184"/>
      <c r="J73" s="184"/>
      <c r="K73" s="184"/>
      <c r="L73" s="373"/>
      <c r="M73" s="375"/>
      <c r="N73" s="377"/>
      <c r="O73" s="170" t="s">
        <v>145</v>
      </c>
      <c r="P73" s="198">
        <f aca="true" t="shared" si="56" ref="P73:W73">MIN(IF($B74,P72+IF(ISNUMBER(O73),O73,0),P74/$N72),1)</f>
        <v>0</v>
      </c>
      <c r="Q73" s="168">
        <f t="shared" si="56"/>
        <v>0.5</v>
      </c>
      <c r="R73" s="168">
        <f t="shared" si="56"/>
        <v>1</v>
      </c>
      <c r="S73" s="168">
        <f t="shared" si="56"/>
        <v>1</v>
      </c>
      <c r="T73" s="168">
        <f t="shared" si="56"/>
        <v>1</v>
      </c>
      <c r="U73" s="168">
        <f t="shared" si="56"/>
        <v>1</v>
      </c>
      <c r="V73" s="168">
        <f t="shared" si="56"/>
        <v>1</v>
      </c>
      <c r="W73" s="168">
        <f t="shared" si="56"/>
        <v>1</v>
      </c>
      <c r="X73" s="196"/>
      <c r="AC73" s="168">
        <f>MIN(IF($B74,AC72+IF(ISNUMBER(AB73),AB73,0),AC74/$N72),1)</f>
        <v>0</v>
      </c>
    </row>
    <row r="74" spans="1:29" ht="14.25">
      <c r="A74" s="184">
        <f ca="1">OFFSET(A74,-CFF.NumLinha,0)+1</f>
        <v>19</v>
      </c>
      <c r="B74" s="184" t="b">
        <f ca="1">$C74&gt;=OFFSET($C74,CFF.NumLinha,0)</f>
        <v>1</v>
      </c>
      <c r="C74" s="184">
        <f>INDEX(PO!A$12:A$167,MATCH($A74,PO!$V$12:$V$167,0))</f>
        <v>2</v>
      </c>
      <c r="D74" s="184">
        <f>IF(ISERROR(J74),I74,SMALL(I74:J74,1))-1</f>
        <v>2</v>
      </c>
      <c r="E74" s="184">
        <f ca="1">IF($C74=1,OFFSET(E74,-CFF.NumLinha,0)+1,OFFSET(E74,-CFF.NumLinha,0))</f>
        <v>7</v>
      </c>
      <c r="F74" s="184">
        <f ca="1">IF($C74=1,0,IF($C74=2,OFFSET(F74,-CFF.NumLinha,0)+1,OFFSET(F74,-CFF.NumLinha,0)))</f>
        <v>3</v>
      </c>
      <c r="G74" s="184">
        <f ca="1">IF(AND($C74&lt;=2,$C74&lt;&gt;0),0,IF($C74=3,OFFSET(G74,-CFF.NumLinha,0)+1,OFFSET(G74,-CFF.NumLinha,0)))</f>
        <v>0</v>
      </c>
      <c r="H74" s="184">
        <f ca="1">IF(AND($C74&lt;=3,$C74&lt;&gt;0),0,IF($C74=4,OFFSET(H74,-CFF.NumLinha,0)+1,OFFSET(H74,-CFF.NumLinha,0)))</f>
        <v>0</v>
      </c>
      <c r="I74" s="184">
        <f ca="1">MATCH(0,OFFSET($D74,1,$C74,ROW($A$135)-ROW($A74)),0)</f>
        <v>6</v>
      </c>
      <c r="J74" s="184">
        <f ca="1">MATCH(OFFSET($D74,0,$C74)+1,OFFSET($D74,1,$C74,ROW($A$135)-ROW($A74)),0)</f>
        <v>3</v>
      </c>
      <c r="K74" s="185">
        <f>ROUND(INDEX(PO!T$12:T$167,MATCH($A74,PO!$V$12:$V$167,0)),2)+10^-12</f>
        <v>1E-12</v>
      </c>
      <c r="L74" s="373"/>
      <c r="M74" s="375"/>
      <c r="N74" s="377"/>
      <c r="O74" s="204" t="s">
        <v>20</v>
      </c>
      <c r="P74" s="199">
        <f aca="true" ca="1" t="shared" si="57" ref="P74:W74">IF($B74,ROUND(P73*$N72,2),ROUND(SUMIF(OFFSET($B74,1,0,$D74),TRUE,OFFSET(P74,1,0,$D74))/SUMIF(OFFSET($B74,1,0,$D74),TRUE,OFFSET($K74,1,0,$D74))*$N72,2))</f>
        <v>0</v>
      </c>
      <c r="Q74" s="169">
        <f ca="1" t="shared" si="57"/>
        <v>0</v>
      </c>
      <c r="R74" s="169">
        <f ca="1" t="shared" si="57"/>
        <v>0</v>
      </c>
      <c r="S74" s="169">
        <f ca="1" t="shared" si="57"/>
        <v>0</v>
      </c>
      <c r="T74" s="169">
        <f ca="1" t="shared" si="57"/>
        <v>0</v>
      </c>
      <c r="U74" s="169">
        <f ca="1" t="shared" si="57"/>
        <v>0</v>
      </c>
      <c r="V74" s="169">
        <f ca="1" t="shared" si="57"/>
        <v>0</v>
      </c>
      <c r="W74" s="207">
        <f ca="1" t="shared" si="57"/>
        <v>0</v>
      </c>
      <c r="X74" s="196"/>
      <c r="AC74" s="169">
        <f ca="1">IF($B74,ROUND(AC73*$N72,2),ROUND(SUMIF(OFFSET($B74,1,0,$D74),TRUE,OFFSET(AC74,1,0,$D74))/SUMIF(OFFSET($B74,1,0,$D74),TRUE,OFFSET($K74,1,0,$D74))*$N72,2))</f>
        <v>0</v>
      </c>
    </row>
    <row r="75" spans="1:29" ht="14.25" customHeight="1">
      <c r="A75" s="82"/>
      <c r="B75" s="82"/>
      <c r="C75" s="82"/>
      <c r="D75" s="82"/>
      <c r="E75" s="82"/>
      <c r="F75" s="82"/>
      <c r="G75" s="82"/>
      <c r="H75" s="82"/>
      <c r="I75" s="82"/>
      <c r="J75" s="82"/>
      <c r="K75" s="82"/>
      <c r="L75" s="372" t="str">
        <f>INDEX(PO!K$12:K$167,MATCH($A77,PO!$V$12:$V$167,0))</f>
        <v>7.4.</v>
      </c>
      <c r="M75" s="374" t="str">
        <f>INDEX(PO!N$12:N$167,MATCH($A77,PO!$V$12:$V$167,0))</f>
        <v>INSTALAÇÃO DE LOUÇAS E METAIS</v>
      </c>
      <c r="N75" s="376">
        <f>IF(ROUND(K77,2)=0,K77,ROUND(K77,2))</f>
        <v>1E-12</v>
      </c>
      <c r="O75" s="220" t="s">
        <v>143</v>
      </c>
      <c r="P75" s="226">
        <f>IF($B77,0,P76-IF(ISNUMBER(O76),O76,0))</f>
        <v>0</v>
      </c>
      <c r="Q75" s="227">
        <f>IF($B77,0,Q76-IF(ISNUMBER(P76),P76,0))</f>
        <v>0</v>
      </c>
      <c r="R75" s="227">
        <f>IF($B77,0,R76-IF(ISNUMBER(Q76),Q76,0))</f>
        <v>0</v>
      </c>
      <c r="S75" s="227">
        <v>1</v>
      </c>
      <c r="T75" s="227"/>
      <c r="U75" s="227">
        <f>IF($B77,0,U76-IF(ISNUMBER(T76),T76,0))</f>
        <v>0</v>
      </c>
      <c r="V75" s="227">
        <f>IF($B77,0,V76-IF(ISNUMBER(U76),U76,0))</f>
        <v>0</v>
      </c>
      <c r="W75" s="228">
        <f>IF($B77,0,W76-IF(ISNUMBER(V76),V76,0))</f>
        <v>0</v>
      </c>
      <c r="X75" s="196"/>
      <c r="AC75" s="221">
        <f>IF($B77,0,AC76-IF(ISNUMBER(AB76),AB76,0))</f>
        <v>0</v>
      </c>
    </row>
    <row r="76" spans="1:29" ht="14.25">
      <c r="A76" s="184"/>
      <c r="B76" s="184"/>
      <c r="C76" s="184"/>
      <c r="D76" s="184"/>
      <c r="E76" s="184"/>
      <c r="F76" s="184"/>
      <c r="G76" s="184"/>
      <c r="H76" s="184"/>
      <c r="I76" s="184"/>
      <c r="J76" s="184"/>
      <c r="K76" s="184"/>
      <c r="L76" s="373"/>
      <c r="M76" s="375"/>
      <c r="N76" s="377"/>
      <c r="O76" s="170" t="s">
        <v>145</v>
      </c>
      <c r="P76" s="198">
        <f aca="true" t="shared" si="58" ref="P76:W76">MIN(IF($B77,P75+IF(ISNUMBER(O76),O76,0),P77/$N75),1)</f>
        <v>0</v>
      </c>
      <c r="Q76" s="168">
        <f t="shared" si="58"/>
        <v>0</v>
      </c>
      <c r="R76" s="168">
        <f t="shared" si="58"/>
        <v>0</v>
      </c>
      <c r="S76" s="168">
        <f t="shared" si="58"/>
        <v>1</v>
      </c>
      <c r="T76" s="168">
        <f t="shared" si="58"/>
        <v>1</v>
      </c>
      <c r="U76" s="168">
        <f t="shared" si="58"/>
        <v>1</v>
      </c>
      <c r="V76" s="168">
        <f t="shared" si="58"/>
        <v>1</v>
      </c>
      <c r="W76" s="168">
        <f t="shared" si="58"/>
        <v>1</v>
      </c>
      <c r="X76" s="196"/>
      <c r="AC76" s="168">
        <f>MIN(IF($B77,AC75+IF(ISNUMBER(AB76),AB76,0),AC77/$N75),1)</f>
        <v>0</v>
      </c>
    </row>
    <row r="77" spans="1:29" ht="14.25">
      <c r="A77" s="184">
        <f ca="1">OFFSET(A77,-CFF.NumLinha,0)+1</f>
        <v>20</v>
      </c>
      <c r="B77" s="184" t="b">
        <f ca="1">$C77&gt;=OFFSET($C77,CFF.NumLinha,0)</f>
        <v>1</v>
      </c>
      <c r="C77" s="184">
        <f>INDEX(PO!A$12:A$167,MATCH($A77,PO!$V$12:$V$167,0))</f>
        <v>2</v>
      </c>
      <c r="D77" s="184">
        <f>IF(ISERROR(J77),I77,SMALL(I77:J77,1))-1</f>
        <v>2</v>
      </c>
      <c r="E77" s="184">
        <f ca="1">IF($C77=1,OFFSET(E77,-CFF.NumLinha,0)+1,OFFSET(E77,-CFF.NumLinha,0))</f>
        <v>7</v>
      </c>
      <c r="F77" s="184">
        <f ca="1">IF($C77=1,0,IF($C77=2,OFFSET(F77,-CFF.NumLinha,0)+1,OFFSET(F77,-CFF.NumLinha,0)))</f>
        <v>4</v>
      </c>
      <c r="G77" s="184">
        <f ca="1">IF(AND($C77&lt;=2,$C77&lt;&gt;0),0,IF($C77=3,OFFSET(G77,-CFF.NumLinha,0)+1,OFFSET(G77,-CFF.NumLinha,0)))</f>
        <v>0</v>
      </c>
      <c r="H77" s="184">
        <f ca="1">IF(AND($C77&lt;=3,$C77&lt;&gt;0),0,IF($C77=4,OFFSET(H77,-CFF.NumLinha,0)+1,OFFSET(H77,-CFF.NumLinha,0)))</f>
        <v>0</v>
      </c>
      <c r="I77" s="184">
        <f ca="1">MATCH(0,OFFSET($D77,1,$C77,ROW($A$135)-ROW($A77)),0)</f>
        <v>3</v>
      </c>
      <c r="J77" s="184">
        <f ca="1">MATCH(OFFSET($D77,0,$C77)+1,OFFSET($D77,1,$C77,ROW($A$135)-ROW($A77)),0)</f>
        <v>36</v>
      </c>
      <c r="K77" s="185">
        <f>ROUND(INDEX(PO!T$12:T$167,MATCH($A77,PO!$V$12:$V$167,0)),2)+10^-12</f>
        <v>1E-12</v>
      </c>
      <c r="L77" s="373"/>
      <c r="M77" s="375"/>
      <c r="N77" s="377"/>
      <c r="O77" s="204" t="s">
        <v>20</v>
      </c>
      <c r="P77" s="199">
        <f aca="true" ca="1" t="shared" si="59" ref="P77:W77">IF($B77,ROUND(P76*$N75,2),ROUND(SUMIF(OFFSET($B77,1,0,$D77),TRUE,OFFSET(P77,1,0,$D77))/SUMIF(OFFSET($B77,1,0,$D77),TRUE,OFFSET($K77,1,0,$D77))*$N75,2))</f>
        <v>0</v>
      </c>
      <c r="Q77" s="169">
        <f ca="1" t="shared" si="59"/>
        <v>0</v>
      </c>
      <c r="R77" s="169">
        <f ca="1" t="shared" si="59"/>
        <v>0</v>
      </c>
      <c r="S77" s="169">
        <f ca="1" t="shared" si="59"/>
        <v>0</v>
      </c>
      <c r="T77" s="169">
        <f ca="1" t="shared" si="59"/>
        <v>0</v>
      </c>
      <c r="U77" s="169">
        <f ca="1" t="shared" si="59"/>
        <v>0</v>
      </c>
      <c r="V77" s="169">
        <f ca="1" t="shared" si="59"/>
        <v>0</v>
      </c>
      <c r="W77" s="207">
        <f ca="1" t="shared" si="59"/>
        <v>0</v>
      </c>
      <c r="X77" s="196"/>
      <c r="AC77" s="169">
        <f ca="1">IF($B77,ROUND(AC76*$N75,2),ROUND(SUMIF(OFFSET($B77,1,0,$D77),TRUE,OFFSET(AC77,1,0,$D77))/SUMIF(OFFSET($B77,1,0,$D77),TRUE,OFFSET($K77,1,0,$D77))*$N75,2))</f>
        <v>0</v>
      </c>
    </row>
    <row r="78" spans="1:29" ht="14.25" customHeight="1">
      <c r="A78" s="82"/>
      <c r="B78" s="82"/>
      <c r="C78" s="82"/>
      <c r="D78" s="82"/>
      <c r="E78" s="82"/>
      <c r="F78" s="82"/>
      <c r="G78" s="82"/>
      <c r="H78" s="82"/>
      <c r="I78" s="82"/>
      <c r="J78" s="82"/>
      <c r="K78" s="82"/>
      <c r="L78" s="372" t="str">
        <f>INDEX(PO!K$12:K$167,MATCH($A80,PO!$V$12:$V$167,0))</f>
        <v>8.</v>
      </c>
      <c r="M78" s="374" t="str">
        <f>INDEX(PO!N$12:N$167,MATCH($A80,PO!$V$12:$V$167,0))</f>
        <v>ESQUADRIAS</v>
      </c>
      <c r="N78" s="376">
        <f>IF(ROUND(K80,2)=0,K80,ROUND(K80,2))</f>
        <v>1E-12</v>
      </c>
      <c r="O78" s="220" t="s">
        <v>143</v>
      </c>
      <c r="P78" s="226">
        <f aca="true" t="shared" si="60" ref="P78:W78">IF($B80,0,P79-IF(ISNUMBER(O79),O79,0))</f>
        <v>0</v>
      </c>
      <c r="Q78" s="227">
        <f t="shared" si="60"/>
        <v>0</v>
      </c>
      <c r="R78" s="227">
        <f t="shared" si="60"/>
        <v>0</v>
      </c>
      <c r="S78" s="227">
        <f t="shared" si="60"/>
        <v>0</v>
      </c>
      <c r="T78" s="227">
        <f t="shared" si="60"/>
        <v>0</v>
      </c>
      <c r="U78" s="227">
        <f t="shared" si="60"/>
        <v>0</v>
      </c>
      <c r="V78" s="227">
        <f t="shared" si="60"/>
        <v>0</v>
      </c>
      <c r="W78" s="228">
        <f t="shared" si="60"/>
        <v>0</v>
      </c>
      <c r="X78" s="196"/>
      <c r="AC78" s="221">
        <f>IF($B80,0,AC79-IF(ISNUMBER(AB79),AB79,0))</f>
        <v>0</v>
      </c>
    </row>
    <row r="79" spans="1:29" ht="14.25">
      <c r="A79" s="184"/>
      <c r="B79" s="184"/>
      <c r="C79" s="184"/>
      <c r="D79" s="184"/>
      <c r="E79" s="184"/>
      <c r="F79" s="184"/>
      <c r="G79" s="184"/>
      <c r="H79" s="184"/>
      <c r="I79" s="184"/>
      <c r="J79" s="184"/>
      <c r="K79" s="184"/>
      <c r="L79" s="373"/>
      <c r="M79" s="375"/>
      <c r="N79" s="377"/>
      <c r="O79" s="170" t="s">
        <v>145</v>
      </c>
      <c r="P79" s="198">
        <f aca="true" t="shared" si="61" ref="P79:W79">MIN(IF($B80,P78+IF(ISNUMBER(O79),O79,0),P80/$N78),1)</f>
        <v>0</v>
      </c>
      <c r="Q79" s="168">
        <f t="shared" si="61"/>
        <v>0</v>
      </c>
      <c r="R79" s="168">
        <f t="shared" si="61"/>
        <v>0</v>
      </c>
      <c r="S79" s="168">
        <f t="shared" si="61"/>
        <v>0</v>
      </c>
      <c r="T79" s="168">
        <f t="shared" si="61"/>
        <v>0</v>
      </c>
      <c r="U79" s="168">
        <f t="shared" si="61"/>
        <v>0</v>
      </c>
      <c r="V79" s="168">
        <f t="shared" si="61"/>
        <v>0</v>
      </c>
      <c r="W79" s="168">
        <f t="shared" si="61"/>
        <v>0</v>
      </c>
      <c r="X79" s="196"/>
      <c r="AC79" s="168">
        <f>MIN(IF($B80,AC78+IF(ISNUMBER(AB79),AB79,0),AC80/$N78),1)</f>
        <v>0</v>
      </c>
    </row>
    <row r="80" spans="1:29" ht="14.25">
      <c r="A80" s="184">
        <f ca="1">OFFSET(A80,-CFF.NumLinha,0)+1</f>
        <v>21</v>
      </c>
      <c r="B80" s="184" t="b">
        <f ca="1">$C80&gt;=OFFSET($C80,CFF.NumLinha,0)</f>
        <v>0</v>
      </c>
      <c r="C80" s="184">
        <f>INDEX(PO!A$12:A$167,MATCH($A80,PO!$V$12:$V$167,0))</f>
        <v>1</v>
      </c>
      <c r="D80" s="184">
        <f>IF(ISERROR(J80),I80,SMALL(I80:J80,1))-1</f>
        <v>5</v>
      </c>
      <c r="E80" s="184">
        <f ca="1">IF($C80=1,OFFSET(E80,-CFF.NumLinha,0)+1,OFFSET(E80,-CFF.NumLinha,0))</f>
        <v>8</v>
      </c>
      <c r="F80" s="184">
        <f ca="1">IF($C80=1,0,IF($C80=2,OFFSET(F80,-CFF.NumLinha,0)+1,OFFSET(F80,-CFF.NumLinha,0)))</f>
        <v>0</v>
      </c>
      <c r="G80" s="184">
        <f ca="1">IF(AND($C80&lt;=2,$C80&lt;&gt;0),0,IF($C80=3,OFFSET(G80,-CFF.NumLinha,0)+1,OFFSET(G80,-CFF.NumLinha,0)))</f>
        <v>0</v>
      </c>
      <c r="H80" s="184">
        <f ca="1">IF(AND($C80&lt;=3,$C80&lt;&gt;0),0,IF($C80=4,OFFSET(H80,-CFF.NumLinha,0)+1,OFFSET(H80,-CFF.NumLinha,0)))</f>
        <v>0</v>
      </c>
      <c r="I80" s="184">
        <f ca="1">MATCH(0,OFFSET($D80,1,$C80,ROW($A$135)-ROW($A80)),0)</f>
        <v>55</v>
      </c>
      <c r="J80" s="184">
        <f ca="1">MATCH(OFFSET($D80,0,$C80)+1,OFFSET($D80,1,$C80,ROW($A$135)-ROW($A80)),0)</f>
        <v>6</v>
      </c>
      <c r="K80" s="185">
        <f>ROUND(INDEX(PO!T$12:T$167,MATCH($A80,PO!$V$12:$V$167,0)),2)+10^-12</f>
        <v>1E-12</v>
      </c>
      <c r="L80" s="373"/>
      <c r="M80" s="375"/>
      <c r="N80" s="377"/>
      <c r="O80" s="204" t="s">
        <v>20</v>
      </c>
      <c r="P80" s="199">
        <f aca="true" ca="1" t="shared" si="62" ref="P80:W80">IF($B80,ROUND(P79*$N78,2),ROUND(SUMIF(OFFSET($B80,1,0,$D80),TRUE,OFFSET(P80,1,0,$D80))/SUMIF(OFFSET($B80,1,0,$D80),TRUE,OFFSET($K80,1,0,$D80))*$N78,2))</f>
        <v>0</v>
      </c>
      <c r="Q80" s="169">
        <f ca="1" t="shared" si="62"/>
        <v>0</v>
      </c>
      <c r="R80" s="169">
        <f ca="1" t="shared" si="62"/>
        <v>0</v>
      </c>
      <c r="S80" s="169">
        <f ca="1" t="shared" si="62"/>
        <v>0</v>
      </c>
      <c r="T80" s="169">
        <f ca="1" t="shared" si="62"/>
        <v>0</v>
      </c>
      <c r="U80" s="169">
        <f ca="1" t="shared" si="62"/>
        <v>0</v>
      </c>
      <c r="V80" s="169">
        <f ca="1" t="shared" si="62"/>
        <v>0</v>
      </c>
      <c r="W80" s="207">
        <f ca="1" t="shared" si="62"/>
        <v>0</v>
      </c>
      <c r="X80" s="196"/>
      <c r="AC80" s="169">
        <f ca="1">IF($B80,ROUND(AC79*$N78,2),ROUND(SUMIF(OFFSET($B80,1,0,$D80),TRUE,OFFSET(AC80,1,0,$D80))/SUMIF(OFFSET($B80,1,0,$D80),TRUE,OFFSET($K80,1,0,$D80))*$N78,2))</f>
        <v>0</v>
      </c>
    </row>
    <row r="81" spans="1:29" ht="14.25" customHeight="1">
      <c r="A81" s="82"/>
      <c r="B81" s="82"/>
      <c r="C81" s="82"/>
      <c r="D81" s="82"/>
      <c r="E81" s="82"/>
      <c r="F81" s="82"/>
      <c r="G81" s="82"/>
      <c r="H81" s="82"/>
      <c r="I81" s="82"/>
      <c r="J81" s="82"/>
      <c r="K81" s="82"/>
      <c r="L81" s="372" t="str">
        <f>INDEX(PO!K$12:K$167,MATCH($A83,PO!$V$12:$V$167,0))</f>
        <v>8.1.</v>
      </c>
      <c r="M81" s="374" t="str">
        <f>INDEX(PO!N$12:N$167,MATCH($A83,PO!$V$12:$V$167,0))</f>
        <v>INTERNAS</v>
      </c>
      <c r="N81" s="376">
        <f>IF(ROUND(K83,2)=0,K83,ROUND(K83,2))</f>
        <v>1E-12</v>
      </c>
      <c r="O81" s="220" t="s">
        <v>143</v>
      </c>
      <c r="P81" s="226">
        <v>0</v>
      </c>
      <c r="Q81" s="227">
        <v>0</v>
      </c>
      <c r="R81" s="227">
        <v>0.1</v>
      </c>
      <c r="S81" s="227">
        <v>0.1</v>
      </c>
      <c r="T81" s="227">
        <v>0.8</v>
      </c>
      <c r="U81" s="227">
        <v>0</v>
      </c>
      <c r="V81" s="227">
        <v>0</v>
      </c>
      <c r="W81" s="228">
        <v>0</v>
      </c>
      <c r="X81" s="196"/>
      <c r="AC81" s="221">
        <f>IF($B83,0,AC82-IF(ISNUMBER(AB82),AB82,0))</f>
        <v>0</v>
      </c>
    </row>
    <row r="82" spans="1:29" ht="14.25">
      <c r="A82" s="184"/>
      <c r="B82" s="184"/>
      <c r="C82" s="184"/>
      <c r="D82" s="184"/>
      <c r="E82" s="184"/>
      <c r="F82" s="184"/>
      <c r="G82" s="184"/>
      <c r="H82" s="184"/>
      <c r="I82" s="184"/>
      <c r="J82" s="184"/>
      <c r="K82" s="184"/>
      <c r="L82" s="373"/>
      <c r="M82" s="375"/>
      <c r="N82" s="377"/>
      <c r="O82" s="170" t="s">
        <v>145</v>
      </c>
      <c r="P82" s="198">
        <f aca="true" t="shared" si="63" ref="P82:W82">MIN(IF($B83,P81+IF(ISNUMBER(O82),O82,0),P83/$N81),1)</f>
        <v>0</v>
      </c>
      <c r="Q82" s="168">
        <f t="shared" si="63"/>
        <v>0</v>
      </c>
      <c r="R82" s="168">
        <f t="shared" si="63"/>
        <v>0.1</v>
      </c>
      <c r="S82" s="168">
        <f t="shared" si="63"/>
        <v>0.2</v>
      </c>
      <c r="T82" s="168">
        <f t="shared" si="63"/>
        <v>1</v>
      </c>
      <c r="U82" s="168">
        <f t="shared" si="63"/>
        <v>1</v>
      </c>
      <c r="V82" s="168">
        <f t="shared" si="63"/>
        <v>1</v>
      </c>
      <c r="W82" s="168">
        <f t="shared" si="63"/>
        <v>1</v>
      </c>
      <c r="X82" s="196"/>
      <c r="AC82" s="168">
        <f>MIN(IF($B83,AC81+IF(ISNUMBER(AB82),AB82,0),AC83/$N81),1)</f>
        <v>0</v>
      </c>
    </row>
    <row r="83" spans="1:29" ht="14.25">
      <c r="A83" s="184">
        <f ca="1">OFFSET(A83,-CFF.NumLinha,0)+1</f>
        <v>22</v>
      </c>
      <c r="B83" s="184" t="b">
        <f ca="1">$C83&gt;=OFFSET($C83,CFF.NumLinha,0)</f>
        <v>1</v>
      </c>
      <c r="C83" s="184">
        <f>INDEX(PO!A$12:A$167,MATCH($A83,PO!$V$12:$V$167,0))</f>
        <v>2</v>
      </c>
      <c r="D83" s="184">
        <f>IF(ISERROR(J83),I83,SMALL(I83:J83,1))-1</f>
        <v>2</v>
      </c>
      <c r="E83" s="184">
        <f ca="1">IF($C83=1,OFFSET(E83,-CFF.NumLinha,0)+1,OFFSET(E83,-CFF.NumLinha,0))</f>
        <v>8</v>
      </c>
      <c r="F83" s="184">
        <f ca="1">IF($C83=1,0,IF($C83=2,OFFSET(F83,-CFF.NumLinha,0)+1,OFFSET(F83,-CFF.NumLinha,0)))</f>
        <v>1</v>
      </c>
      <c r="G83" s="184">
        <f ca="1">IF(AND($C83&lt;=2,$C83&lt;&gt;0),0,IF($C83=3,OFFSET(G83,-CFF.NumLinha,0)+1,OFFSET(G83,-CFF.NumLinha,0)))</f>
        <v>0</v>
      </c>
      <c r="H83" s="184">
        <f ca="1">IF(AND($C83&lt;=3,$C83&lt;&gt;0),0,IF($C83=4,OFFSET(H83,-CFF.NumLinha,0)+1,OFFSET(H83,-CFF.NumLinha,0)))</f>
        <v>0</v>
      </c>
      <c r="I83" s="184">
        <f ca="1">MATCH(0,OFFSET($D83,1,$C83,ROW($A$135)-ROW($A83)),0)</f>
        <v>3</v>
      </c>
      <c r="J83" s="184">
        <f ca="1">MATCH(OFFSET($D83,0,$C83)+1,OFFSET($D83,1,$C83,ROW($A$135)-ROW($A83)),0)</f>
        <v>9</v>
      </c>
      <c r="K83" s="185">
        <f>ROUND(INDEX(PO!T$12:T$167,MATCH($A83,PO!$V$12:$V$167,0)),2)+10^-12</f>
        <v>1E-12</v>
      </c>
      <c r="L83" s="373"/>
      <c r="M83" s="375"/>
      <c r="N83" s="377"/>
      <c r="O83" s="204" t="s">
        <v>20</v>
      </c>
      <c r="P83" s="199">
        <f aca="true" ca="1" t="shared" si="64" ref="P83:W83">IF($B83,ROUND(P82*$N81,2),ROUND(SUMIF(OFFSET($B83,1,0,$D83),TRUE,OFFSET(P83,1,0,$D83))/SUMIF(OFFSET($B83,1,0,$D83),TRUE,OFFSET($K83,1,0,$D83))*$N81,2))</f>
        <v>0</v>
      </c>
      <c r="Q83" s="169">
        <f ca="1" t="shared" si="64"/>
        <v>0</v>
      </c>
      <c r="R83" s="169">
        <f ca="1" t="shared" si="64"/>
        <v>0</v>
      </c>
      <c r="S83" s="169">
        <f ca="1" t="shared" si="64"/>
        <v>0</v>
      </c>
      <c r="T83" s="169">
        <f ca="1" t="shared" si="64"/>
        <v>0</v>
      </c>
      <c r="U83" s="169">
        <f ca="1" t="shared" si="64"/>
        <v>0</v>
      </c>
      <c r="V83" s="169">
        <f ca="1" t="shared" si="64"/>
        <v>0</v>
      </c>
      <c r="W83" s="207">
        <f ca="1" t="shared" si="64"/>
        <v>0</v>
      </c>
      <c r="X83" s="196"/>
      <c r="AC83" s="169">
        <f ca="1">IF($B83,ROUND(AC82*$N81,2),ROUND(SUMIF(OFFSET($B83,1,0,$D83),TRUE,OFFSET(AC83,1,0,$D83))/SUMIF(OFFSET($B83,1,0,$D83),TRUE,OFFSET($K83,1,0,$D83))*$N81,2))</f>
        <v>0</v>
      </c>
    </row>
    <row r="84" spans="1:29" ht="14.25" customHeight="1">
      <c r="A84" s="82"/>
      <c r="B84" s="82"/>
      <c r="C84" s="82"/>
      <c r="D84" s="82"/>
      <c r="E84" s="82"/>
      <c r="F84" s="82"/>
      <c r="G84" s="82"/>
      <c r="H84" s="82"/>
      <c r="I84" s="82"/>
      <c r="J84" s="82"/>
      <c r="K84" s="82"/>
      <c r="L84" s="372" t="str">
        <f>INDEX(PO!K$12:K$167,MATCH($A86,PO!$V$12:$V$167,0))</f>
        <v>9.</v>
      </c>
      <c r="M84" s="374" t="str">
        <f>INDEX(PO!N$12:N$167,MATCH($A86,PO!$V$12:$V$167,0))</f>
        <v>PINTURA </v>
      </c>
      <c r="N84" s="376">
        <f>IF(ROUND(K86,2)=0,K86,ROUND(K86,2))</f>
        <v>1E-12</v>
      </c>
      <c r="O84" s="220" t="s">
        <v>143</v>
      </c>
      <c r="P84" s="226">
        <v>0.25</v>
      </c>
      <c r="Q84" s="227">
        <v>0.25</v>
      </c>
      <c r="R84" s="227">
        <v>0.1</v>
      </c>
      <c r="S84" s="227">
        <v>0.1</v>
      </c>
      <c r="T84" s="227">
        <v>0.1</v>
      </c>
      <c r="U84" s="227">
        <v>0.05</v>
      </c>
      <c r="V84" s="227">
        <v>0.05</v>
      </c>
      <c r="W84" s="228">
        <v>0.1</v>
      </c>
      <c r="X84" s="196"/>
      <c r="AC84" s="221">
        <f>IF($B86,0,AC85-IF(ISNUMBER(AB85),AB85,0))</f>
        <v>0</v>
      </c>
    </row>
    <row r="85" spans="1:29" ht="14.25">
      <c r="A85" s="184"/>
      <c r="B85" s="184"/>
      <c r="C85" s="184"/>
      <c r="D85" s="184"/>
      <c r="E85" s="184"/>
      <c r="F85" s="184"/>
      <c r="G85" s="184"/>
      <c r="H85" s="184"/>
      <c r="I85" s="184"/>
      <c r="J85" s="184"/>
      <c r="K85" s="184"/>
      <c r="L85" s="373"/>
      <c r="M85" s="375"/>
      <c r="N85" s="377"/>
      <c r="O85" s="170" t="s">
        <v>145</v>
      </c>
      <c r="P85" s="198">
        <f aca="true" t="shared" si="65" ref="P85:W85">MIN(IF($B86,P84+IF(ISNUMBER(O85),O85,0),P86/$N84),1)</f>
        <v>0</v>
      </c>
      <c r="Q85" s="168">
        <f t="shared" si="65"/>
        <v>0</v>
      </c>
      <c r="R85" s="168">
        <f t="shared" si="65"/>
        <v>0</v>
      </c>
      <c r="S85" s="168">
        <f t="shared" si="65"/>
        <v>0</v>
      </c>
      <c r="T85" s="168">
        <f t="shared" si="65"/>
        <v>0</v>
      </c>
      <c r="U85" s="168">
        <f t="shared" si="65"/>
        <v>0</v>
      </c>
      <c r="V85" s="168">
        <f t="shared" si="65"/>
        <v>0</v>
      </c>
      <c r="W85" s="168">
        <f t="shared" si="65"/>
        <v>0</v>
      </c>
      <c r="X85" s="196"/>
      <c r="AC85" s="168">
        <f>MIN(IF($B86,AC84+IF(ISNUMBER(AB85),AB85,0),AC86/$N84),1)</f>
        <v>0</v>
      </c>
    </row>
    <row r="86" spans="1:29" ht="14.25">
      <c r="A86" s="184">
        <f ca="1">OFFSET(A86,-CFF.NumLinha,0)+1</f>
        <v>23</v>
      </c>
      <c r="B86" s="184" t="b">
        <f ca="1">$C86&gt;=OFFSET($C86,CFF.NumLinha,0)</f>
        <v>0</v>
      </c>
      <c r="C86" s="184">
        <f>INDEX(PO!A$12:A$167,MATCH($A86,PO!$V$12:$V$167,0))</f>
        <v>1</v>
      </c>
      <c r="D86" s="184">
        <f>IF(ISERROR(J86),I86,SMALL(I86:J86,1))-1</f>
        <v>11</v>
      </c>
      <c r="E86" s="184">
        <f ca="1">IF($C86=1,OFFSET(E86,-CFF.NumLinha,0)+1,OFFSET(E86,-CFF.NumLinha,0))</f>
        <v>9</v>
      </c>
      <c r="F86" s="184">
        <f ca="1">IF($C86=1,0,IF($C86=2,OFFSET(F86,-CFF.NumLinha,0)+1,OFFSET(F86,-CFF.NumLinha,0)))</f>
        <v>0</v>
      </c>
      <c r="G86" s="184">
        <f ca="1">IF(AND($C86&lt;=2,$C86&lt;&gt;0),0,IF($C86=3,OFFSET(G86,-CFF.NumLinha,0)+1,OFFSET(G86,-CFF.NumLinha,0)))</f>
        <v>0</v>
      </c>
      <c r="H86" s="184">
        <f ca="1">IF(AND($C86&lt;=3,$C86&lt;&gt;0),0,IF($C86=4,OFFSET(H86,-CFF.NumLinha,0)+1,OFFSET(H86,-CFF.NumLinha,0)))</f>
        <v>0</v>
      </c>
      <c r="I86" s="184">
        <f ca="1">MATCH(0,OFFSET($D86,1,$C86,ROW($A$135)-ROW($A86)),0)</f>
        <v>49</v>
      </c>
      <c r="J86" s="184">
        <f ca="1">MATCH(OFFSET($D86,0,$C86)+1,OFFSET($D86,1,$C86,ROW($A$135)-ROW($A86)),0)</f>
        <v>12</v>
      </c>
      <c r="K86" s="185">
        <f>ROUND(INDEX(PO!T$12:T$167,MATCH($A86,PO!$V$12:$V$167,0)),2)+10^-12</f>
        <v>1E-12</v>
      </c>
      <c r="L86" s="373"/>
      <c r="M86" s="375"/>
      <c r="N86" s="377"/>
      <c r="O86" s="204" t="s">
        <v>20</v>
      </c>
      <c r="P86" s="199">
        <f aca="true" ca="1" t="shared" si="66" ref="P86:W86">IF($B86,ROUND(P85*$N84,2),ROUND(SUMIF(OFFSET($B86,1,0,$D86),TRUE,OFFSET(P86,1,0,$D86))/SUMIF(OFFSET($B86,1,0,$D86),TRUE,OFFSET($K86,1,0,$D86))*$N84,2))</f>
        <v>0</v>
      </c>
      <c r="Q86" s="169">
        <f ca="1" t="shared" si="66"/>
        <v>0</v>
      </c>
      <c r="R86" s="169">
        <f ca="1" t="shared" si="66"/>
        <v>0</v>
      </c>
      <c r="S86" s="169">
        <f ca="1" t="shared" si="66"/>
        <v>0</v>
      </c>
      <c r="T86" s="169">
        <f ca="1" t="shared" si="66"/>
        <v>0</v>
      </c>
      <c r="U86" s="169">
        <f ca="1" t="shared" si="66"/>
        <v>0</v>
      </c>
      <c r="V86" s="169">
        <f ca="1" t="shared" si="66"/>
        <v>0</v>
      </c>
      <c r="W86" s="207">
        <f ca="1" t="shared" si="66"/>
        <v>0</v>
      </c>
      <c r="X86" s="196"/>
      <c r="AC86" s="169">
        <f ca="1">IF($B86,ROUND(AC85*$N84,2),ROUND(SUMIF(OFFSET($B86,1,0,$D86),TRUE,OFFSET(AC86,1,0,$D86))/SUMIF(OFFSET($B86,1,0,$D86),TRUE,OFFSET($K86,1,0,$D86))*$N84,2))</f>
        <v>0</v>
      </c>
    </row>
    <row r="87" spans="1:29" ht="14.25" customHeight="1">
      <c r="A87" s="82"/>
      <c r="B87" s="82"/>
      <c r="C87" s="82"/>
      <c r="D87" s="82"/>
      <c r="E87" s="82"/>
      <c r="F87" s="82"/>
      <c r="G87" s="82"/>
      <c r="H87" s="82"/>
      <c r="I87" s="82"/>
      <c r="J87" s="82"/>
      <c r="K87" s="82"/>
      <c r="L87" s="372" t="str">
        <f>INDEX(PO!K$12:K$167,MATCH($A89,PO!$V$12:$V$167,0))</f>
        <v>9.1.</v>
      </c>
      <c r="M87" s="374" t="str">
        <f>INDEX(PO!N$12:N$167,MATCH($A89,PO!$V$12:$V$167,0))</f>
        <v>PINTURA INTERNA DE PAREDES</v>
      </c>
      <c r="N87" s="376">
        <f>IF(ROUND(K89,2)=0,K89,ROUND(K89,2))</f>
        <v>1E-12</v>
      </c>
      <c r="O87" s="220" t="s">
        <v>143</v>
      </c>
      <c r="P87" s="226">
        <v>0.25</v>
      </c>
      <c r="Q87" s="227">
        <v>0.25</v>
      </c>
      <c r="R87" s="227">
        <v>0.1</v>
      </c>
      <c r="S87" s="227">
        <v>0.1</v>
      </c>
      <c r="T87" s="227">
        <v>0.3</v>
      </c>
      <c r="U87" s="227">
        <v>0</v>
      </c>
      <c r="V87" s="227">
        <v>0</v>
      </c>
      <c r="W87" s="228">
        <v>0</v>
      </c>
      <c r="X87" s="196"/>
      <c r="AC87" s="221">
        <f>IF($B89,0,AC88-IF(ISNUMBER(AB88),AB88,0))</f>
        <v>0</v>
      </c>
    </row>
    <row r="88" spans="1:29" ht="14.25">
      <c r="A88" s="184"/>
      <c r="B88" s="184"/>
      <c r="C88" s="184"/>
      <c r="D88" s="184"/>
      <c r="E88" s="184"/>
      <c r="F88" s="184"/>
      <c r="G88" s="184"/>
      <c r="H88" s="184"/>
      <c r="I88" s="184"/>
      <c r="J88" s="184"/>
      <c r="K88" s="184"/>
      <c r="L88" s="373"/>
      <c r="M88" s="375"/>
      <c r="N88" s="377"/>
      <c r="O88" s="170" t="s">
        <v>145</v>
      </c>
      <c r="P88" s="198">
        <f aca="true" t="shared" si="67" ref="P88:W88">MIN(IF($B89,P87+IF(ISNUMBER(O88),O88,0),P89/$N87),1)</f>
        <v>0.25</v>
      </c>
      <c r="Q88" s="168">
        <f t="shared" si="67"/>
        <v>0.5</v>
      </c>
      <c r="R88" s="168">
        <f t="shared" si="67"/>
        <v>0.6</v>
      </c>
      <c r="S88" s="168">
        <f t="shared" si="67"/>
        <v>0.7</v>
      </c>
      <c r="T88" s="168">
        <f t="shared" si="67"/>
        <v>1</v>
      </c>
      <c r="U88" s="168">
        <f t="shared" si="67"/>
        <v>1</v>
      </c>
      <c r="V88" s="168">
        <f t="shared" si="67"/>
        <v>1</v>
      </c>
      <c r="W88" s="168">
        <f t="shared" si="67"/>
        <v>1</v>
      </c>
      <c r="X88" s="196"/>
      <c r="AC88" s="168">
        <f>MIN(IF($B89,AC87+IF(ISNUMBER(AB88),AB88,0),AC89/$N87),1)</f>
        <v>0</v>
      </c>
    </row>
    <row r="89" spans="1:29" ht="14.25">
      <c r="A89" s="184">
        <f ca="1">OFFSET(A89,-CFF.NumLinha,0)+1</f>
        <v>24</v>
      </c>
      <c r="B89" s="184" t="b">
        <f ca="1">$C89&gt;=OFFSET($C89,CFF.NumLinha,0)</f>
        <v>1</v>
      </c>
      <c r="C89" s="184">
        <f>INDEX(PO!A$12:A$167,MATCH($A89,PO!$V$12:$V$167,0))</f>
        <v>2</v>
      </c>
      <c r="D89" s="184">
        <f>IF(ISERROR(J89),I89,SMALL(I89:J89,1))-1</f>
        <v>2</v>
      </c>
      <c r="E89" s="184">
        <f ca="1">IF($C89=1,OFFSET(E89,-CFF.NumLinha,0)+1,OFFSET(E89,-CFF.NumLinha,0))</f>
        <v>9</v>
      </c>
      <c r="F89" s="184">
        <f ca="1">IF($C89=1,0,IF($C89=2,OFFSET(F89,-CFF.NumLinha,0)+1,OFFSET(F89,-CFF.NumLinha,0)))</f>
        <v>1</v>
      </c>
      <c r="G89" s="184">
        <f ca="1">IF(AND($C89&lt;=2,$C89&lt;&gt;0),0,IF($C89=3,OFFSET(G89,-CFF.NumLinha,0)+1,OFFSET(G89,-CFF.NumLinha,0)))</f>
        <v>0</v>
      </c>
      <c r="H89" s="184">
        <f ca="1">IF(AND($C89&lt;=3,$C89&lt;&gt;0),0,IF($C89=4,OFFSET(H89,-CFF.NumLinha,0)+1,OFFSET(H89,-CFF.NumLinha,0)))</f>
        <v>0</v>
      </c>
      <c r="I89" s="184">
        <f ca="1">MATCH(0,OFFSET($D89,1,$C89,ROW($A$135)-ROW($A89)),0)</f>
        <v>9</v>
      </c>
      <c r="J89" s="184">
        <f ca="1">MATCH(OFFSET($D89,0,$C89)+1,OFFSET($D89,1,$C89,ROW($A$135)-ROW($A89)),0)</f>
        <v>3</v>
      </c>
      <c r="K89" s="185">
        <f>ROUND(INDEX(PO!T$12:T$167,MATCH($A89,PO!$V$12:$V$167,0)),2)+10^-12</f>
        <v>1E-12</v>
      </c>
      <c r="L89" s="373"/>
      <c r="M89" s="375"/>
      <c r="N89" s="377"/>
      <c r="O89" s="204" t="s">
        <v>20</v>
      </c>
      <c r="P89" s="199">
        <f aca="true" ca="1" t="shared" si="68" ref="P89:W89">IF($B89,ROUND(P88*$N87,2),ROUND(SUMIF(OFFSET($B89,1,0,$D89),TRUE,OFFSET(P89,1,0,$D89))/SUMIF(OFFSET($B89,1,0,$D89),TRUE,OFFSET($K89,1,0,$D89))*$N87,2))</f>
        <v>0</v>
      </c>
      <c r="Q89" s="169">
        <f ca="1" t="shared" si="68"/>
        <v>0</v>
      </c>
      <c r="R89" s="169">
        <f ca="1" t="shared" si="68"/>
        <v>0</v>
      </c>
      <c r="S89" s="169">
        <f ca="1" t="shared" si="68"/>
        <v>0</v>
      </c>
      <c r="T89" s="169">
        <f ca="1" t="shared" si="68"/>
        <v>0</v>
      </c>
      <c r="U89" s="169">
        <f ca="1" t="shared" si="68"/>
        <v>0</v>
      </c>
      <c r="V89" s="169">
        <f ca="1" t="shared" si="68"/>
        <v>0</v>
      </c>
      <c r="W89" s="207">
        <f ca="1" t="shared" si="68"/>
        <v>0</v>
      </c>
      <c r="X89" s="196"/>
      <c r="AC89" s="169">
        <f ca="1">IF($B89,ROUND(AC88*$N87,2),ROUND(SUMIF(OFFSET($B89,1,0,$D89),TRUE,OFFSET(AC89,1,0,$D89))/SUMIF(OFFSET($B89,1,0,$D89),TRUE,OFFSET($K89,1,0,$D89))*$N87,2))</f>
        <v>0</v>
      </c>
    </row>
    <row r="90" spans="1:29" ht="14.25" customHeight="1">
      <c r="A90" s="82"/>
      <c r="B90" s="82"/>
      <c r="C90" s="82"/>
      <c r="D90" s="82"/>
      <c r="E90" s="82"/>
      <c r="F90" s="82"/>
      <c r="G90" s="82"/>
      <c r="H90" s="82"/>
      <c r="I90" s="82"/>
      <c r="J90" s="82"/>
      <c r="K90" s="82"/>
      <c r="L90" s="372" t="str">
        <f>INDEX(PO!K$12:K$167,MATCH($A92,PO!$V$12:$V$167,0))</f>
        <v>9.2.</v>
      </c>
      <c r="M90" s="374" t="str">
        <f>INDEX(PO!N$12:N$167,MATCH($A92,PO!$V$12:$V$167,0))</f>
        <v>PINTURA DE FORROS</v>
      </c>
      <c r="N90" s="376">
        <f>IF(ROUND(K92,2)=0,K92,ROUND(K92,2))</f>
        <v>1E-12</v>
      </c>
      <c r="O90" s="220" t="s">
        <v>143</v>
      </c>
      <c r="P90" s="226">
        <f>IF($B92,0,P91-IF(ISNUMBER(O91),O91,0))</f>
        <v>0</v>
      </c>
      <c r="Q90" s="227">
        <f>IF($B92,0,Q91-IF(ISNUMBER(P91),P91,0))</f>
        <v>0</v>
      </c>
      <c r="R90" s="227">
        <f>IF($B92,0,R91-IF(ISNUMBER(Q91),Q91,0))</f>
        <v>0</v>
      </c>
      <c r="S90" s="227">
        <f>IF($B92,0,S91-IF(ISNUMBER(R91),R91,0))</f>
        <v>0</v>
      </c>
      <c r="T90" s="227">
        <v>1</v>
      </c>
      <c r="U90" s="227">
        <v>0</v>
      </c>
      <c r="V90" s="227">
        <v>0</v>
      </c>
      <c r="W90" s="228">
        <v>0</v>
      </c>
      <c r="X90" s="196"/>
      <c r="AC90" s="221">
        <f>IF($B92,0,AC91-IF(ISNUMBER(AB91),AB91,0))</f>
        <v>0</v>
      </c>
    </row>
    <row r="91" spans="1:29" ht="14.25">
      <c r="A91" s="184"/>
      <c r="B91" s="184"/>
      <c r="C91" s="184"/>
      <c r="D91" s="184"/>
      <c r="E91" s="184"/>
      <c r="F91" s="184"/>
      <c r="G91" s="184"/>
      <c r="H91" s="184"/>
      <c r="I91" s="184"/>
      <c r="J91" s="184"/>
      <c r="K91" s="184"/>
      <c r="L91" s="373"/>
      <c r="M91" s="375"/>
      <c r="N91" s="377"/>
      <c r="O91" s="170" t="s">
        <v>145</v>
      </c>
      <c r="P91" s="198">
        <f aca="true" t="shared" si="69" ref="P91:W91">MIN(IF($B92,P90+IF(ISNUMBER(O91),O91,0),P92/$N90),1)</f>
        <v>0</v>
      </c>
      <c r="Q91" s="168">
        <f t="shared" si="69"/>
        <v>0</v>
      </c>
      <c r="R91" s="168">
        <f t="shared" si="69"/>
        <v>0</v>
      </c>
      <c r="S91" s="168">
        <f t="shared" si="69"/>
        <v>0</v>
      </c>
      <c r="T91" s="168">
        <f t="shared" si="69"/>
        <v>1</v>
      </c>
      <c r="U91" s="168">
        <f t="shared" si="69"/>
        <v>1</v>
      </c>
      <c r="V91" s="168">
        <f t="shared" si="69"/>
        <v>1</v>
      </c>
      <c r="W91" s="168">
        <f t="shared" si="69"/>
        <v>1</v>
      </c>
      <c r="X91" s="196"/>
      <c r="AC91" s="168">
        <f>MIN(IF($B92,AC90+IF(ISNUMBER(AB91),AB91,0),AC92/$N90),1)</f>
        <v>0</v>
      </c>
    </row>
    <row r="92" spans="1:29" ht="14.25">
      <c r="A92" s="184">
        <f ca="1">OFFSET(A92,-CFF.NumLinha,0)+1</f>
        <v>25</v>
      </c>
      <c r="B92" s="184" t="b">
        <f ca="1">$C92&gt;=OFFSET($C92,CFF.NumLinha,0)</f>
        <v>1</v>
      </c>
      <c r="C92" s="184">
        <f>INDEX(PO!A$12:A$167,MATCH($A92,PO!$V$12:$V$167,0))</f>
        <v>2</v>
      </c>
      <c r="D92" s="184">
        <f>IF(ISERROR(J92),I92,SMALL(I92:J92,1))-1</f>
        <v>2</v>
      </c>
      <c r="E92" s="184">
        <f ca="1">IF($C92=1,OFFSET(E92,-CFF.NumLinha,0)+1,OFFSET(E92,-CFF.NumLinha,0))</f>
        <v>9</v>
      </c>
      <c r="F92" s="184">
        <f ca="1">IF($C92=1,0,IF($C92=2,OFFSET(F92,-CFF.NumLinha,0)+1,OFFSET(F92,-CFF.NumLinha,0)))</f>
        <v>2</v>
      </c>
      <c r="G92" s="184">
        <f ca="1">IF(AND($C92&lt;=2,$C92&lt;&gt;0),0,IF($C92=3,OFFSET(G92,-CFF.NumLinha,0)+1,OFFSET(G92,-CFF.NumLinha,0)))</f>
        <v>0</v>
      </c>
      <c r="H92" s="184">
        <f ca="1">IF(AND($C92&lt;=3,$C92&lt;&gt;0),0,IF($C92=4,OFFSET(H92,-CFF.NumLinha,0)+1,OFFSET(H92,-CFF.NumLinha,0)))</f>
        <v>0</v>
      </c>
      <c r="I92" s="184">
        <f ca="1">MATCH(0,OFFSET($D92,1,$C92,ROW($A$135)-ROW($A92)),0)</f>
        <v>6</v>
      </c>
      <c r="J92" s="184">
        <f ca="1">MATCH(OFFSET($D92,0,$C92)+1,OFFSET($D92,1,$C92,ROW($A$135)-ROW($A92)),0)</f>
        <v>3</v>
      </c>
      <c r="K92" s="185">
        <f>ROUND(INDEX(PO!T$12:T$167,MATCH($A92,PO!$V$12:$V$167,0)),2)+10^-12</f>
        <v>1E-12</v>
      </c>
      <c r="L92" s="373"/>
      <c r="M92" s="375"/>
      <c r="N92" s="377"/>
      <c r="O92" s="204" t="s">
        <v>20</v>
      </c>
      <c r="P92" s="199">
        <f aca="true" ca="1" t="shared" si="70" ref="P92:W92">IF($B92,ROUND(P91*$N90,2),ROUND(SUMIF(OFFSET($B92,1,0,$D92),TRUE,OFFSET(P92,1,0,$D92))/SUMIF(OFFSET($B92,1,0,$D92),TRUE,OFFSET($K92,1,0,$D92))*$N90,2))</f>
        <v>0</v>
      </c>
      <c r="Q92" s="169">
        <f ca="1" t="shared" si="70"/>
        <v>0</v>
      </c>
      <c r="R92" s="169">
        <f ca="1" t="shared" si="70"/>
        <v>0</v>
      </c>
      <c r="S92" s="169">
        <f ca="1" t="shared" si="70"/>
        <v>0</v>
      </c>
      <c r="T92" s="169">
        <f ca="1" t="shared" si="70"/>
        <v>0</v>
      </c>
      <c r="U92" s="169">
        <f ca="1" t="shared" si="70"/>
        <v>0</v>
      </c>
      <c r="V92" s="169">
        <f ca="1" t="shared" si="70"/>
        <v>0</v>
      </c>
      <c r="W92" s="207">
        <f ca="1" t="shared" si="70"/>
        <v>0</v>
      </c>
      <c r="X92" s="196"/>
      <c r="AC92" s="169">
        <f ca="1">IF($B92,ROUND(AC91*$N90,2),ROUND(SUMIF(OFFSET($B92,1,0,$D92),TRUE,OFFSET(AC92,1,0,$D92))/SUMIF(OFFSET($B92,1,0,$D92),TRUE,OFFSET($K92,1,0,$D92))*$N90,2))</f>
        <v>0</v>
      </c>
    </row>
    <row r="93" spans="1:29" ht="14.25" customHeight="1">
      <c r="A93" s="82"/>
      <c r="B93" s="82"/>
      <c r="C93" s="82"/>
      <c r="D93" s="82"/>
      <c r="E93" s="82"/>
      <c r="F93" s="82"/>
      <c r="G93" s="82"/>
      <c r="H93" s="82"/>
      <c r="I93" s="82"/>
      <c r="J93" s="82"/>
      <c r="K93" s="82"/>
      <c r="L93" s="372" t="str">
        <f>INDEX(PO!K$12:K$167,MATCH($A95,PO!$V$12:$V$167,0))</f>
        <v>9.3.</v>
      </c>
      <c r="M93" s="374" t="str">
        <f>INDEX(PO!N$12:N$167,MATCH($A95,PO!$V$12:$V$167,0))</f>
        <v>PINTURA DE ESQUADRIAS</v>
      </c>
      <c r="N93" s="376">
        <f>IF(ROUND(K95,2)=0,K95,ROUND(K95,2))</f>
        <v>1E-12</v>
      </c>
      <c r="O93" s="220" t="s">
        <v>143</v>
      </c>
      <c r="P93" s="226">
        <f aca="true" t="shared" si="71" ref="P93:W93">IF($B95,0,P94-IF(ISNUMBER(O94),O94,0))</f>
        <v>0</v>
      </c>
      <c r="Q93" s="227">
        <f t="shared" si="71"/>
        <v>0</v>
      </c>
      <c r="R93" s="227">
        <f t="shared" si="71"/>
        <v>0</v>
      </c>
      <c r="S93" s="227">
        <f t="shared" si="71"/>
        <v>0</v>
      </c>
      <c r="T93" s="227">
        <v>1</v>
      </c>
      <c r="U93" s="227">
        <f t="shared" si="71"/>
        <v>0</v>
      </c>
      <c r="V93" s="227">
        <f t="shared" si="71"/>
        <v>0</v>
      </c>
      <c r="W93" s="228">
        <f t="shared" si="71"/>
        <v>0</v>
      </c>
      <c r="X93" s="196"/>
      <c r="AC93" s="221">
        <f>IF($B95,0,AC94-IF(ISNUMBER(AB94),AB94,0))</f>
        <v>0</v>
      </c>
    </row>
    <row r="94" spans="1:29" ht="14.25">
      <c r="A94" s="184"/>
      <c r="B94" s="184"/>
      <c r="C94" s="184"/>
      <c r="D94" s="184"/>
      <c r="E94" s="184"/>
      <c r="F94" s="184"/>
      <c r="G94" s="184"/>
      <c r="H94" s="184"/>
      <c r="I94" s="184"/>
      <c r="J94" s="184"/>
      <c r="K94" s="184"/>
      <c r="L94" s="373"/>
      <c r="M94" s="375"/>
      <c r="N94" s="377"/>
      <c r="O94" s="170" t="s">
        <v>145</v>
      </c>
      <c r="P94" s="198">
        <f aca="true" t="shared" si="72" ref="P94:W94">MIN(IF($B95,P93+IF(ISNUMBER(O94),O94,0),P95/$N93),1)</f>
        <v>0</v>
      </c>
      <c r="Q94" s="168">
        <f t="shared" si="72"/>
        <v>0</v>
      </c>
      <c r="R94" s="168">
        <f t="shared" si="72"/>
        <v>0</v>
      </c>
      <c r="S94" s="168">
        <f t="shared" si="72"/>
        <v>0</v>
      </c>
      <c r="T94" s="168">
        <f t="shared" si="72"/>
        <v>1</v>
      </c>
      <c r="U94" s="168">
        <f t="shared" si="72"/>
        <v>1</v>
      </c>
      <c r="V94" s="168">
        <f t="shared" si="72"/>
        <v>1</v>
      </c>
      <c r="W94" s="168">
        <f t="shared" si="72"/>
        <v>1</v>
      </c>
      <c r="X94" s="196"/>
      <c r="AC94" s="168">
        <f>MIN(IF($B95,AC93+IF(ISNUMBER(AB94),AB94,0),AC95/$N93),1)</f>
        <v>0</v>
      </c>
    </row>
    <row r="95" spans="1:29" ht="14.25">
      <c r="A95" s="184">
        <f ca="1">OFFSET(A95,-CFF.NumLinha,0)+1</f>
        <v>26</v>
      </c>
      <c r="B95" s="184" t="b">
        <f ca="1">$C95&gt;=OFFSET($C95,CFF.NumLinha,0)</f>
        <v>1</v>
      </c>
      <c r="C95" s="184">
        <f>INDEX(PO!A$12:A$167,MATCH($A95,PO!$V$12:$V$167,0))</f>
        <v>2</v>
      </c>
      <c r="D95" s="184">
        <f>IF(ISERROR(J95),I95,SMALL(I95:J95,1))-1</f>
        <v>2</v>
      </c>
      <c r="E95" s="184">
        <f ca="1">IF($C95=1,OFFSET(E95,-CFF.NumLinha,0)+1,OFFSET(E95,-CFF.NumLinha,0))</f>
        <v>9</v>
      </c>
      <c r="F95" s="184">
        <f ca="1">IF($C95=1,0,IF($C95=2,OFFSET(F95,-CFF.NumLinha,0)+1,OFFSET(F95,-CFF.NumLinha,0)))</f>
        <v>3</v>
      </c>
      <c r="G95" s="184">
        <f ca="1">IF(AND($C95&lt;=2,$C95&lt;&gt;0),0,IF($C95=3,OFFSET(G95,-CFF.NumLinha,0)+1,OFFSET(G95,-CFF.NumLinha,0)))</f>
        <v>0</v>
      </c>
      <c r="H95" s="184">
        <f ca="1">IF(AND($C95&lt;=3,$C95&lt;&gt;0),0,IF($C95=4,OFFSET(H95,-CFF.NumLinha,0)+1,OFFSET(H95,-CFF.NumLinha,0)))</f>
        <v>0</v>
      </c>
      <c r="I95" s="184">
        <f ca="1">MATCH(0,OFFSET($D95,1,$C95,ROW($A$135)-ROW($A95)),0)</f>
        <v>3</v>
      </c>
      <c r="J95" s="184">
        <f ca="1">MATCH(OFFSET($D95,0,$C95)+1,OFFSET($D95,1,$C95,ROW($A$135)-ROW($A95)),0)</f>
        <v>15</v>
      </c>
      <c r="K95" s="185">
        <f>ROUND(INDEX(PO!T$12:T$167,MATCH($A95,PO!$V$12:$V$167,0)),2)+10^-12</f>
        <v>1E-12</v>
      </c>
      <c r="L95" s="373"/>
      <c r="M95" s="375"/>
      <c r="N95" s="377"/>
      <c r="O95" s="204" t="s">
        <v>20</v>
      </c>
      <c r="P95" s="199">
        <f aca="true" ca="1" t="shared" si="73" ref="P95:W95">IF($B95,ROUND(P94*$N93,2),ROUND(SUMIF(OFFSET($B95,1,0,$D95),TRUE,OFFSET(P95,1,0,$D95))/SUMIF(OFFSET($B95,1,0,$D95),TRUE,OFFSET($K95,1,0,$D95))*$N93,2))</f>
        <v>0</v>
      </c>
      <c r="Q95" s="169">
        <f ca="1" t="shared" si="73"/>
        <v>0</v>
      </c>
      <c r="R95" s="169">
        <f ca="1" t="shared" si="73"/>
        <v>0</v>
      </c>
      <c r="S95" s="169">
        <f ca="1" t="shared" si="73"/>
        <v>0</v>
      </c>
      <c r="T95" s="169">
        <f ca="1" t="shared" si="73"/>
        <v>0</v>
      </c>
      <c r="U95" s="169">
        <f ca="1" t="shared" si="73"/>
        <v>0</v>
      </c>
      <c r="V95" s="169">
        <f ca="1" t="shared" si="73"/>
        <v>0</v>
      </c>
      <c r="W95" s="207">
        <f ca="1" t="shared" si="73"/>
        <v>0</v>
      </c>
      <c r="X95" s="196"/>
      <c r="AC95" s="169">
        <f ca="1">IF($B95,ROUND(AC94*$N93,2),ROUND(SUMIF(OFFSET($B95,1,0,$D95),TRUE,OFFSET(AC95,1,0,$D95))/SUMIF(OFFSET($B95,1,0,$D95),TRUE,OFFSET($K95,1,0,$D95))*$N93,2))</f>
        <v>0</v>
      </c>
    </row>
    <row r="96" spans="1:29" ht="14.25" customHeight="1">
      <c r="A96" s="82"/>
      <c r="B96" s="82"/>
      <c r="C96" s="82"/>
      <c r="D96" s="82"/>
      <c r="E96" s="82"/>
      <c r="F96" s="82"/>
      <c r="G96" s="82"/>
      <c r="H96" s="82"/>
      <c r="I96" s="82"/>
      <c r="J96" s="82"/>
      <c r="K96" s="82"/>
      <c r="L96" s="372" t="str">
        <f>INDEX(PO!K$12:K$167,MATCH($A98,PO!$V$12:$V$167,0))</f>
        <v>10.</v>
      </c>
      <c r="M96" s="374" t="str">
        <f>INDEX(PO!N$12:N$167,MATCH($A98,PO!$V$12:$V$167,0))</f>
        <v>CONSTRUÇÃO DO ABRIGO TEMPORÁRIO DE RESÍDUOS</v>
      </c>
      <c r="N96" s="376">
        <f>IF(ROUND(K98,2)=0,K98,ROUND(K98,2))</f>
        <v>1E-12</v>
      </c>
      <c r="O96" s="220" t="s">
        <v>143</v>
      </c>
      <c r="P96" s="226">
        <f>IF($B98,0,P97-IF(ISNUMBER(O97),O97,0))</f>
        <v>0</v>
      </c>
      <c r="Q96" s="227">
        <f>IF($B98,0,Q97-IF(ISNUMBER(P97),P97,0))</f>
        <v>0</v>
      </c>
      <c r="R96" s="227">
        <f>IF($B98,0,R97-IF(ISNUMBER(Q97),Q97,0))</f>
        <v>0</v>
      </c>
      <c r="S96" s="227">
        <f>IF($B98,0,S97-IF(ISNUMBER(R97),R97,0))</f>
        <v>0</v>
      </c>
      <c r="T96" s="227">
        <f>IF($B98,0,T97-IF(ISNUMBER(S97),S97,0))</f>
        <v>0</v>
      </c>
      <c r="U96" s="227">
        <v>1</v>
      </c>
      <c r="V96" s="227">
        <v>0</v>
      </c>
      <c r="W96" s="228">
        <v>0</v>
      </c>
      <c r="X96" s="196"/>
      <c r="AC96" s="221">
        <f>IF($B98,0,AC97-IF(ISNUMBER(AB97),AB97,0))</f>
        <v>0</v>
      </c>
    </row>
    <row r="97" spans="1:29" ht="14.25">
      <c r="A97" s="184"/>
      <c r="B97" s="184"/>
      <c r="C97" s="184"/>
      <c r="D97" s="184"/>
      <c r="E97" s="184"/>
      <c r="F97" s="184"/>
      <c r="G97" s="184"/>
      <c r="H97" s="184"/>
      <c r="I97" s="184"/>
      <c r="J97" s="184"/>
      <c r="K97" s="184"/>
      <c r="L97" s="373"/>
      <c r="M97" s="375"/>
      <c r="N97" s="377"/>
      <c r="O97" s="170" t="s">
        <v>145</v>
      </c>
      <c r="P97" s="198">
        <f aca="true" t="shared" si="74" ref="P97:W97">MIN(IF($B98,P96+IF(ISNUMBER(O97),O97,0),P98/$N96),1)</f>
        <v>0</v>
      </c>
      <c r="Q97" s="168">
        <f t="shared" si="74"/>
        <v>0</v>
      </c>
      <c r="R97" s="168">
        <f t="shared" si="74"/>
        <v>0</v>
      </c>
      <c r="S97" s="168">
        <f t="shared" si="74"/>
        <v>0</v>
      </c>
      <c r="T97" s="168">
        <f t="shared" si="74"/>
        <v>0</v>
      </c>
      <c r="U97" s="168">
        <f t="shared" si="74"/>
        <v>0</v>
      </c>
      <c r="V97" s="168">
        <f t="shared" si="74"/>
        <v>0</v>
      </c>
      <c r="W97" s="168">
        <f t="shared" si="74"/>
        <v>0</v>
      </c>
      <c r="X97" s="196"/>
      <c r="AC97" s="168">
        <f>MIN(IF($B98,AC96+IF(ISNUMBER(AB97),AB97,0),AC98/$N96),1)</f>
        <v>0</v>
      </c>
    </row>
    <row r="98" spans="1:29" ht="14.25">
      <c r="A98" s="184">
        <f ca="1">OFFSET(A98,-CFF.NumLinha,0)+1</f>
        <v>27</v>
      </c>
      <c r="B98" s="184" t="b">
        <f ca="1">$C98&gt;=OFFSET($C98,CFF.NumLinha,0)</f>
        <v>0</v>
      </c>
      <c r="C98" s="184">
        <f>INDEX(PO!A$12:A$167,MATCH($A98,PO!$V$12:$V$167,0))</f>
        <v>1</v>
      </c>
      <c r="D98" s="184">
        <f>IF(ISERROR(J98),I98,SMALL(I98:J98,1))-1</f>
        <v>35</v>
      </c>
      <c r="E98" s="184">
        <f ca="1">IF($C98=1,OFFSET(E98,-CFF.NumLinha,0)+1,OFFSET(E98,-CFF.NumLinha,0))</f>
        <v>10</v>
      </c>
      <c r="F98" s="184">
        <f ca="1">IF($C98=1,0,IF($C98=2,OFFSET(F98,-CFF.NumLinha,0)+1,OFFSET(F98,-CFF.NumLinha,0)))</f>
        <v>0</v>
      </c>
      <c r="G98" s="184">
        <f ca="1">IF(AND($C98&lt;=2,$C98&lt;&gt;0),0,IF($C98=3,OFFSET(G98,-CFF.NumLinha,0)+1,OFFSET(G98,-CFF.NumLinha,0)))</f>
        <v>0</v>
      </c>
      <c r="H98" s="184">
        <f ca="1">IF(AND($C98&lt;=3,$C98&lt;&gt;0),0,IF($C98=4,OFFSET(H98,-CFF.NumLinha,0)+1,OFFSET(H98,-CFF.NumLinha,0)))</f>
        <v>0</v>
      </c>
      <c r="I98" s="184">
        <f ca="1">MATCH(0,OFFSET($D98,1,$C98,ROW($A$135)-ROW($A98)),0)</f>
        <v>37</v>
      </c>
      <c r="J98" s="184">
        <f ca="1">MATCH(OFFSET($D98,0,$C98)+1,OFFSET($D98,1,$C98,ROW($A$135)-ROW($A98)),0)</f>
        <v>36</v>
      </c>
      <c r="K98" s="185">
        <f>ROUND(INDEX(PO!T$12:T$167,MATCH($A98,PO!$V$12:$V$167,0)),2)+10^-12</f>
        <v>1E-12</v>
      </c>
      <c r="L98" s="373"/>
      <c r="M98" s="375"/>
      <c r="N98" s="377"/>
      <c r="O98" s="204" t="s">
        <v>20</v>
      </c>
      <c r="P98" s="199">
        <f aca="true" ca="1" t="shared" si="75" ref="P98:W98">IF($B98,ROUND(P97*$N96,2),ROUND(SUMIF(OFFSET($B98,1,0,$D98),TRUE,OFFSET(P98,1,0,$D98))/SUMIF(OFFSET($B98,1,0,$D98),TRUE,OFFSET($K98,1,0,$D98))*$N96,2))</f>
        <v>0</v>
      </c>
      <c r="Q98" s="169">
        <f ca="1" t="shared" si="75"/>
        <v>0</v>
      </c>
      <c r="R98" s="169">
        <f ca="1" t="shared" si="75"/>
        <v>0</v>
      </c>
      <c r="S98" s="169">
        <f ca="1" t="shared" si="75"/>
        <v>0</v>
      </c>
      <c r="T98" s="169">
        <f ca="1" t="shared" si="75"/>
        <v>0</v>
      </c>
      <c r="U98" s="169">
        <f ca="1" t="shared" si="75"/>
        <v>0</v>
      </c>
      <c r="V98" s="169">
        <f ca="1" t="shared" si="75"/>
        <v>0</v>
      </c>
      <c r="W98" s="207">
        <f ca="1" t="shared" si="75"/>
        <v>0</v>
      </c>
      <c r="X98" s="196"/>
      <c r="AC98" s="169">
        <f ca="1">IF($B98,ROUND(AC97*$N96,2),ROUND(SUMIF(OFFSET($B98,1,0,$D98),TRUE,OFFSET(AC98,1,0,$D98))/SUMIF(OFFSET($B98,1,0,$D98),TRUE,OFFSET($K98,1,0,$D98))*$N96,2))</f>
        <v>0</v>
      </c>
    </row>
    <row r="99" spans="1:29" ht="14.25" customHeight="1">
      <c r="A99" s="82"/>
      <c r="B99" s="82"/>
      <c r="C99" s="82"/>
      <c r="D99" s="82"/>
      <c r="E99" s="82"/>
      <c r="F99" s="82"/>
      <c r="G99" s="82"/>
      <c r="H99" s="82"/>
      <c r="I99" s="82"/>
      <c r="J99" s="82"/>
      <c r="K99" s="82"/>
      <c r="L99" s="372" t="str">
        <f>INDEX(PO!K$12:K$167,MATCH($A101,PO!$V$12:$V$167,0))</f>
        <v>10.1.</v>
      </c>
      <c r="M99" s="374" t="str">
        <f>INDEX(PO!N$12:N$167,MATCH($A101,PO!$V$12:$V$167,0))</f>
        <v>FUNDAÇÕES SUPERFICIAIS </v>
      </c>
      <c r="N99" s="376">
        <f>IF(ROUND(K101,2)=0,K101,ROUND(K101,2))</f>
        <v>1E-12</v>
      </c>
      <c r="O99" s="220" t="s">
        <v>143</v>
      </c>
      <c r="P99" s="226">
        <v>1</v>
      </c>
      <c r="Q99" s="227">
        <f aca="true" t="shared" si="76" ref="Q99:W99">IF($B101,0,Q100-IF(ISNUMBER(P100),P100,0))</f>
        <v>0</v>
      </c>
      <c r="R99" s="227">
        <f t="shared" si="76"/>
        <v>0</v>
      </c>
      <c r="S99" s="227">
        <f t="shared" si="76"/>
        <v>0</v>
      </c>
      <c r="T99" s="227">
        <f t="shared" si="76"/>
        <v>0</v>
      </c>
      <c r="U99" s="227">
        <f t="shared" si="76"/>
        <v>0</v>
      </c>
      <c r="V99" s="227">
        <f t="shared" si="76"/>
        <v>0</v>
      </c>
      <c r="W99" s="228">
        <f t="shared" si="76"/>
        <v>0</v>
      </c>
      <c r="X99" s="196"/>
      <c r="AC99" s="221">
        <f>IF($B101,0,AC100-IF(ISNUMBER(AB100),AB100,0))</f>
        <v>0</v>
      </c>
    </row>
    <row r="100" spans="1:29" ht="14.25">
      <c r="A100" s="184"/>
      <c r="B100" s="184"/>
      <c r="C100" s="184"/>
      <c r="D100" s="184"/>
      <c r="E100" s="184"/>
      <c r="F100" s="184"/>
      <c r="G100" s="184"/>
      <c r="H100" s="184"/>
      <c r="I100" s="184"/>
      <c r="J100" s="184"/>
      <c r="K100" s="184"/>
      <c r="L100" s="373"/>
      <c r="M100" s="375"/>
      <c r="N100" s="377"/>
      <c r="O100" s="170" t="s">
        <v>145</v>
      </c>
      <c r="P100" s="198">
        <f aca="true" t="shared" si="77" ref="P100:W100">MIN(IF($B101,P99+IF(ISNUMBER(O100),O100,0),P101/$N99),1)</f>
        <v>1</v>
      </c>
      <c r="Q100" s="168">
        <f t="shared" si="77"/>
        <v>1</v>
      </c>
      <c r="R100" s="168">
        <f t="shared" si="77"/>
        <v>1</v>
      </c>
      <c r="S100" s="168">
        <f t="shared" si="77"/>
        <v>1</v>
      </c>
      <c r="T100" s="168">
        <f t="shared" si="77"/>
        <v>1</v>
      </c>
      <c r="U100" s="168">
        <f t="shared" si="77"/>
        <v>1</v>
      </c>
      <c r="V100" s="168">
        <f t="shared" si="77"/>
        <v>1</v>
      </c>
      <c r="W100" s="168">
        <f t="shared" si="77"/>
        <v>1</v>
      </c>
      <c r="X100" s="196"/>
      <c r="AC100" s="168">
        <f>MIN(IF($B101,AC99+IF(ISNUMBER(AB100),AB100,0),AC101/$N99),1)</f>
        <v>0</v>
      </c>
    </row>
    <row r="101" spans="1:29" ht="14.25">
      <c r="A101" s="184">
        <f ca="1">OFFSET(A101,-CFF.NumLinha,0)+1</f>
        <v>28</v>
      </c>
      <c r="B101" s="184" t="b">
        <f ca="1">$C101&gt;=OFFSET($C101,CFF.NumLinha,0)</f>
        <v>1</v>
      </c>
      <c r="C101" s="184">
        <f>INDEX(PO!A$12:A$167,MATCH($A101,PO!$V$12:$V$167,0))</f>
        <v>2</v>
      </c>
      <c r="D101" s="184">
        <f>IF(ISERROR(J101),I101,SMALL(I101:J101,1))-1</f>
        <v>2</v>
      </c>
      <c r="E101" s="184">
        <f ca="1">IF($C101=1,OFFSET(E101,-CFF.NumLinha,0)+1,OFFSET(E101,-CFF.NumLinha,0))</f>
        <v>10</v>
      </c>
      <c r="F101" s="184">
        <f ca="1">IF($C101=1,0,IF($C101=2,OFFSET(F101,-CFF.NumLinha,0)+1,OFFSET(F101,-CFF.NumLinha,0)))</f>
        <v>1</v>
      </c>
      <c r="G101" s="184">
        <f ca="1">IF(AND($C101&lt;=2,$C101&lt;&gt;0),0,IF($C101=3,OFFSET(G101,-CFF.NumLinha,0)+1,OFFSET(G101,-CFF.NumLinha,0)))</f>
        <v>0</v>
      </c>
      <c r="H101" s="184">
        <f ca="1">IF(AND($C101&lt;=3,$C101&lt;&gt;0),0,IF($C101=4,OFFSET(H101,-CFF.NumLinha,0)+1,OFFSET(H101,-CFF.NumLinha,0)))</f>
        <v>0</v>
      </c>
      <c r="I101" s="184">
        <f ca="1">MATCH(0,OFFSET($D101,1,$C101,ROW($A$135)-ROW($A101)),0)</f>
        <v>33</v>
      </c>
      <c r="J101" s="184">
        <f ca="1">MATCH(OFFSET($D101,0,$C101)+1,OFFSET($D101,1,$C101,ROW($A$135)-ROW($A101)),0)</f>
        <v>3</v>
      </c>
      <c r="K101" s="185">
        <f>ROUND(INDEX(PO!T$12:T$167,MATCH($A101,PO!$V$12:$V$167,0)),2)+10^-12</f>
        <v>1E-12</v>
      </c>
      <c r="L101" s="373"/>
      <c r="M101" s="375"/>
      <c r="N101" s="377"/>
      <c r="O101" s="204" t="s">
        <v>20</v>
      </c>
      <c r="P101" s="199">
        <f aca="true" ca="1" t="shared" si="78" ref="P101:W101">IF($B101,ROUND(P100*$N99,2),ROUND(SUMIF(OFFSET($B101,1,0,$D101),TRUE,OFFSET(P101,1,0,$D101))/SUMIF(OFFSET($B101,1,0,$D101),TRUE,OFFSET($K101,1,0,$D101))*$N99,2))</f>
        <v>0</v>
      </c>
      <c r="Q101" s="169">
        <f ca="1" t="shared" si="78"/>
        <v>0</v>
      </c>
      <c r="R101" s="169">
        <f ca="1" t="shared" si="78"/>
        <v>0</v>
      </c>
      <c r="S101" s="169">
        <f ca="1" t="shared" si="78"/>
        <v>0</v>
      </c>
      <c r="T101" s="169">
        <f ca="1" t="shared" si="78"/>
        <v>0</v>
      </c>
      <c r="U101" s="169">
        <f ca="1" t="shared" si="78"/>
        <v>0</v>
      </c>
      <c r="V101" s="169">
        <f ca="1" t="shared" si="78"/>
        <v>0</v>
      </c>
      <c r="W101" s="207">
        <f ca="1" t="shared" si="78"/>
        <v>0</v>
      </c>
      <c r="X101" s="196"/>
      <c r="AC101" s="169">
        <f ca="1">IF($B101,ROUND(AC100*$N99,2),ROUND(SUMIF(OFFSET($B101,1,0,$D101),TRUE,OFFSET(AC101,1,0,$D101))/SUMIF(OFFSET($B101,1,0,$D101),TRUE,OFFSET($K101,1,0,$D101))*$N99,2))</f>
        <v>0</v>
      </c>
    </row>
    <row r="102" spans="1:29" ht="14.25" customHeight="1">
      <c r="A102" s="82"/>
      <c r="B102" s="82"/>
      <c r="C102" s="82"/>
      <c r="D102" s="82"/>
      <c r="E102" s="82"/>
      <c r="F102" s="82"/>
      <c r="G102" s="82"/>
      <c r="H102" s="82"/>
      <c r="I102" s="82"/>
      <c r="J102" s="82"/>
      <c r="K102" s="82"/>
      <c r="L102" s="372" t="str">
        <f>INDEX(PO!K$12:K$167,MATCH($A104,PO!$V$12:$V$167,0))</f>
        <v>10.2.</v>
      </c>
      <c r="M102" s="374" t="str">
        <f>INDEX(PO!N$12:N$167,MATCH($A104,PO!$V$12:$V$167,0))</f>
        <v>VIGAMENTO DE BADRAME      </v>
      </c>
      <c r="N102" s="376">
        <f>IF(ROUND(K104,2)=0,K104,ROUND(K104,2))</f>
        <v>1E-12</v>
      </c>
      <c r="O102" s="220" t="s">
        <v>143</v>
      </c>
      <c r="P102" s="226">
        <v>1</v>
      </c>
      <c r="Q102" s="227">
        <f aca="true" t="shared" si="79" ref="Q102:W102">IF($B104,0,Q103-IF(ISNUMBER(P103),P103,0))</f>
        <v>0</v>
      </c>
      <c r="R102" s="227">
        <f t="shared" si="79"/>
        <v>0</v>
      </c>
      <c r="S102" s="227">
        <f t="shared" si="79"/>
        <v>0</v>
      </c>
      <c r="T102" s="227">
        <f t="shared" si="79"/>
        <v>0</v>
      </c>
      <c r="U102" s="227">
        <f t="shared" si="79"/>
        <v>0</v>
      </c>
      <c r="V102" s="227">
        <f t="shared" si="79"/>
        <v>0</v>
      </c>
      <c r="W102" s="228">
        <f t="shared" si="79"/>
        <v>0</v>
      </c>
      <c r="X102" s="196"/>
      <c r="AC102" s="221">
        <f>IF($B104,0,AC103-IF(ISNUMBER(AB103),AB103,0))</f>
        <v>0</v>
      </c>
    </row>
    <row r="103" spans="1:29" ht="14.25">
      <c r="A103" s="184"/>
      <c r="B103" s="184"/>
      <c r="C103" s="184"/>
      <c r="D103" s="184"/>
      <c r="E103" s="184"/>
      <c r="F103" s="184"/>
      <c r="G103" s="184"/>
      <c r="H103" s="184"/>
      <c r="I103" s="184"/>
      <c r="J103" s="184"/>
      <c r="K103" s="184"/>
      <c r="L103" s="373"/>
      <c r="M103" s="375"/>
      <c r="N103" s="377"/>
      <c r="O103" s="170" t="s">
        <v>145</v>
      </c>
      <c r="P103" s="198">
        <f aca="true" t="shared" si="80" ref="P103:W103">MIN(IF($B104,P102+IF(ISNUMBER(O103),O103,0),P104/$N102),1)</f>
        <v>1</v>
      </c>
      <c r="Q103" s="168">
        <f t="shared" si="80"/>
        <v>1</v>
      </c>
      <c r="R103" s="168">
        <f t="shared" si="80"/>
        <v>1</v>
      </c>
      <c r="S103" s="168">
        <f t="shared" si="80"/>
        <v>1</v>
      </c>
      <c r="T103" s="168">
        <f t="shared" si="80"/>
        <v>1</v>
      </c>
      <c r="U103" s="168">
        <f t="shared" si="80"/>
        <v>1</v>
      </c>
      <c r="V103" s="168">
        <f t="shared" si="80"/>
        <v>1</v>
      </c>
      <c r="W103" s="168">
        <f t="shared" si="80"/>
        <v>1</v>
      </c>
      <c r="X103" s="196"/>
      <c r="AC103" s="168">
        <f>MIN(IF($B104,AC102+IF(ISNUMBER(AB103),AB103,0),AC104/$N102),1)</f>
        <v>0</v>
      </c>
    </row>
    <row r="104" spans="1:29" ht="14.25">
      <c r="A104" s="184">
        <f ca="1">OFFSET(A104,-CFF.NumLinha,0)+1</f>
        <v>29</v>
      </c>
      <c r="B104" s="184" t="b">
        <f ca="1">$C104&gt;=OFFSET($C104,CFF.NumLinha,0)</f>
        <v>1</v>
      </c>
      <c r="C104" s="184">
        <f>INDEX(PO!A$12:A$167,MATCH($A104,PO!$V$12:$V$167,0))</f>
        <v>2</v>
      </c>
      <c r="D104" s="184">
        <f>IF(ISERROR(J104),I104,SMALL(I104:J104,1))-1</f>
        <v>2</v>
      </c>
      <c r="E104" s="184">
        <f ca="1">IF($C104=1,OFFSET(E104,-CFF.NumLinha,0)+1,OFFSET(E104,-CFF.NumLinha,0))</f>
        <v>10</v>
      </c>
      <c r="F104" s="184">
        <f ca="1">IF($C104=1,0,IF($C104=2,OFFSET(F104,-CFF.NumLinha,0)+1,OFFSET(F104,-CFF.NumLinha,0)))</f>
        <v>2</v>
      </c>
      <c r="G104" s="184">
        <f ca="1">IF(AND($C104&lt;=2,$C104&lt;&gt;0),0,IF($C104=3,OFFSET(G104,-CFF.NumLinha,0)+1,OFFSET(G104,-CFF.NumLinha,0)))</f>
        <v>0</v>
      </c>
      <c r="H104" s="184">
        <f ca="1">IF(AND($C104&lt;=3,$C104&lt;&gt;0),0,IF($C104=4,OFFSET(H104,-CFF.NumLinha,0)+1,OFFSET(H104,-CFF.NumLinha,0)))</f>
        <v>0</v>
      </c>
      <c r="I104" s="184">
        <f ca="1">MATCH(0,OFFSET($D104,1,$C104,ROW($A$135)-ROW($A104)),0)</f>
        <v>30</v>
      </c>
      <c r="J104" s="184">
        <f ca="1">MATCH(OFFSET($D104,0,$C104)+1,OFFSET($D104,1,$C104,ROW($A$135)-ROW($A104)),0)</f>
        <v>3</v>
      </c>
      <c r="K104" s="185">
        <f>ROUND(INDEX(PO!T$12:T$167,MATCH($A104,PO!$V$12:$V$167,0)),2)+10^-12</f>
        <v>1E-12</v>
      </c>
      <c r="L104" s="373"/>
      <c r="M104" s="375"/>
      <c r="N104" s="377"/>
      <c r="O104" s="204" t="s">
        <v>20</v>
      </c>
      <c r="P104" s="199">
        <f aca="true" ca="1" t="shared" si="81" ref="P104:W104">IF($B104,ROUND(P103*$N102,2),ROUND(SUMIF(OFFSET($B104,1,0,$D104),TRUE,OFFSET(P104,1,0,$D104))/SUMIF(OFFSET($B104,1,0,$D104),TRUE,OFFSET($K104,1,0,$D104))*$N102,2))</f>
        <v>0</v>
      </c>
      <c r="Q104" s="169">
        <f ca="1" t="shared" si="81"/>
        <v>0</v>
      </c>
      <c r="R104" s="169">
        <f ca="1" t="shared" si="81"/>
        <v>0</v>
      </c>
      <c r="S104" s="169">
        <f ca="1" t="shared" si="81"/>
        <v>0</v>
      </c>
      <c r="T104" s="169">
        <f ca="1" t="shared" si="81"/>
        <v>0</v>
      </c>
      <c r="U104" s="169">
        <f ca="1" t="shared" si="81"/>
        <v>0</v>
      </c>
      <c r="V104" s="169">
        <f ca="1" t="shared" si="81"/>
        <v>0</v>
      </c>
      <c r="W104" s="207">
        <f ca="1" t="shared" si="81"/>
        <v>0</v>
      </c>
      <c r="X104" s="196"/>
      <c r="AC104" s="169">
        <f ca="1">IF($B104,ROUND(AC103*$N102,2),ROUND(SUMIF(OFFSET($B104,1,0,$D104),TRUE,OFFSET(AC104,1,0,$D104))/SUMIF(OFFSET($B104,1,0,$D104),TRUE,OFFSET($K104,1,0,$D104))*$N102,2))</f>
        <v>0</v>
      </c>
    </row>
    <row r="105" spans="1:29" ht="14.25" customHeight="1">
      <c r="A105" s="82"/>
      <c r="B105" s="82"/>
      <c r="C105" s="82"/>
      <c r="D105" s="82"/>
      <c r="E105" s="82"/>
      <c r="F105" s="82"/>
      <c r="G105" s="82"/>
      <c r="H105" s="82"/>
      <c r="I105" s="82"/>
      <c r="J105" s="82"/>
      <c r="K105" s="82"/>
      <c r="L105" s="372" t="str">
        <f>INDEX(PO!K$12:K$167,MATCH($A107,PO!$V$12:$V$167,0))</f>
        <v>10.3.</v>
      </c>
      <c r="M105" s="374" t="str">
        <f>INDEX(PO!N$12:N$167,MATCH($A107,PO!$V$12:$V$167,0))</f>
        <v>EXECUÇÃO DOS PILARES DE SUSTENTAÇÃO DA LAJE DE FORRO (4 Pilaretes na frente p/fixação das portas)</v>
      </c>
      <c r="N105" s="376">
        <f>IF(ROUND(K107,2)=0,K107,ROUND(K107,2))</f>
        <v>1E-12</v>
      </c>
      <c r="O105" s="220" t="s">
        <v>143</v>
      </c>
      <c r="P105" s="226">
        <v>1</v>
      </c>
      <c r="Q105" s="227">
        <f aca="true" t="shared" si="82" ref="Q105:W105">IF($B107,0,Q106-IF(ISNUMBER(P106),P106,0))</f>
        <v>0</v>
      </c>
      <c r="R105" s="227">
        <f t="shared" si="82"/>
        <v>0</v>
      </c>
      <c r="S105" s="227">
        <f t="shared" si="82"/>
        <v>0</v>
      </c>
      <c r="T105" s="227">
        <f t="shared" si="82"/>
        <v>0</v>
      </c>
      <c r="U105" s="227">
        <f t="shared" si="82"/>
        <v>0</v>
      </c>
      <c r="V105" s="227">
        <f t="shared" si="82"/>
        <v>0</v>
      </c>
      <c r="W105" s="228">
        <f t="shared" si="82"/>
        <v>0</v>
      </c>
      <c r="X105" s="196"/>
      <c r="AC105" s="221">
        <f>IF($B107,0,AC106-IF(ISNUMBER(AB106),AB106,0))</f>
        <v>0</v>
      </c>
    </row>
    <row r="106" spans="1:29" ht="14.25">
      <c r="A106" s="184"/>
      <c r="B106" s="184"/>
      <c r="C106" s="184"/>
      <c r="D106" s="184"/>
      <c r="E106" s="184"/>
      <c r="F106" s="184"/>
      <c r="G106" s="184"/>
      <c r="H106" s="184"/>
      <c r="I106" s="184"/>
      <c r="J106" s="184"/>
      <c r="K106" s="184"/>
      <c r="L106" s="373"/>
      <c r="M106" s="375"/>
      <c r="N106" s="377"/>
      <c r="O106" s="170" t="s">
        <v>145</v>
      </c>
      <c r="P106" s="198">
        <f aca="true" t="shared" si="83" ref="P106:W106">MIN(IF($B107,P105+IF(ISNUMBER(O106),O106,0),P107/$N105),1)</f>
        <v>1</v>
      </c>
      <c r="Q106" s="168">
        <f t="shared" si="83"/>
        <v>1</v>
      </c>
      <c r="R106" s="168">
        <f t="shared" si="83"/>
        <v>1</v>
      </c>
      <c r="S106" s="168">
        <f t="shared" si="83"/>
        <v>1</v>
      </c>
      <c r="T106" s="168">
        <f t="shared" si="83"/>
        <v>1</v>
      </c>
      <c r="U106" s="168">
        <f t="shared" si="83"/>
        <v>1</v>
      </c>
      <c r="V106" s="168">
        <f t="shared" si="83"/>
        <v>1</v>
      </c>
      <c r="W106" s="168">
        <f t="shared" si="83"/>
        <v>1</v>
      </c>
      <c r="X106" s="196"/>
      <c r="AC106" s="168">
        <f>MIN(IF($B107,AC105+IF(ISNUMBER(AB106),AB106,0),AC107/$N105),1)</f>
        <v>0</v>
      </c>
    </row>
    <row r="107" spans="1:29" ht="14.25">
      <c r="A107" s="184">
        <f ca="1">OFFSET(A107,-CFF.NumLinha,0)+1</f>
        <v>30</v>
      </c>
      <c r="B107" s="184" t="b">
        <f ca="1">$C107&gt;=OFFSET($C107,CFF.NumLinha,0)</f>
        <v>1</v>
      </c>
      <c r="C107" s="184">
        <f>INDEX(PO!A$12:A$167,MATCH($A107,PO!$V$12:$V$167,0))</f>
        <v>2</v>
      </c>
      <c r="D107" s="184">
        <f>IF(ISERROR(J107),I107,SMALL(I107:J107,1))-1</f>
        <v>2</v>
      </c>
      <c r="E107" s="184">
        <f ca="1">IF($C107=1,OFFSET(E107,-CFF.NumLinha,0)+1,OFFSET(E107,-CFF.NumLinha,0))</f>
        <v>10</v>
      </c>
      <c r="F107" s="184">
        <f ca="1">IF($C107=1,0,IF($C107=2,OFFSET(F107,-CFF.NumLinha,0)+1,OFFSET(F107,-CFF.NumLinha,0)))</f>
        <v>3</v>
      </c>
      <c r="G107" s="184">
        <f ca="1">IF(AND($C107&lt;=2,$C107&lt;&gt;0),0,IF($C107=3,OFFSET(G107,-CFF.NumLinha,0)+1,OFFSET(G107,-CFF.NumLinha,0)))</f>
        <v>0</v>
      </c>
      <c r="H107" s="184">
        <f ca="1">IF(AND($C107&lt;=3,$C107&lt;&gt;0),0,IF($C107=4,OFFSET(H107,-CFF.NumLinha,0)+1,OFFSET(H107,-CFF.NumLinha,0)))</f>
        <v>0</v>
      </c>
      <c r="I107" s="184">
        <f ca="1">MATCH(0,OFFSET($D107,1,$C107,ROW($A$135)-ROW($A107)),0)</f>
        <v>27</v>
      </c>
      <c r="J107" s="184">
        <f ca="1">MATCH(OFFSET($D107,0,$C107)+1,OFFSET($D107,1,$C107,ROW($A$135)-ROW($A107)),0)</f>
        <v>3</v>
      </c>
      <c r="K107" s="185">
        <f>ROUND(INDEX(PO!T$12:T$167,MATCH($A107,PO!$V$12:$V$167,0)),2)+10^-12</f>
        <v>1E-12</v>
      </c>
      <c r="L107" s="373"/>
      <c r="M107" s="375"/>
      <c r="N107" s="377"/>
      <c r="O107" s="204" t="s">
        <v>20</v>
      </c>
      <c r="P107" s="199">
        <f aca="true" ca="1" t="shared" si="84" ref="P107:W107">IF($B107,ROUND(P106*$N105,2),ROUND(SUMIF(OFFSET($B107,1,0,$D107),TRUE,OFFSET(P107,1,0,$D107))/SUMIF(OFFSET($B107,1,0,$D107),TRUE,OFFSET($K107,1,0,$D107))*$N105,2))</f>
        <v>0</v>
      </c>
      <c r="Q107" s="169">
        <f ca="1" t="shared" si="84"/>
        <v>0</v>
      </c>
      <c r="R107" s="169">
        <f ca="1" t="shared" si="84"/>
        <v>0</v>
      </c>
      <c r="S107" s="169">
        <f ca="1" t="shared" si="84"/>
        <v>0</v>
      </c>
      <c r="T107" s="169">
        <f ca="1" t="shared" si="84"/>
        <v>0</v>
      </c>
      <c r="U107" s="169">
        <f ca="1" t="shared" si="84"/>
        <v>0</v>
      </c>
      <c r="V107" s="169">
        <f ca="1" t="shared" si="84"/>
        <v>0</v>
      </c>
      <c r="W107" s="207">
        <f ca="1" t="shared" si="84"/>
        <v>0</v>
      </c>
      <c r="X107" s="196"/>
      <c r="AC107" s="169">
        <f ca="1">IF($B107,ROUND(AC106*$N105,2),ROUND(SUMIF(OFFSET($B107,1,0,$D107),TRUE,OFFSET(AC107,1,0,$D107))/SUMIF(OFFSET($B107,1,0,$D107),TRUE,OFFSET($K107,1,0,$D107))*$N105,2))</f>
        <v>0</v>
      </c>
    </row>
    <row r="108" spans="1:29" ht="14.25" customHeight="1">
      <c r="A108" s="82"/>
      <c r="B108" s="82"/>
      <c r="C108" s="82"/>
      <c r="D108" s="82"/>
      <c r="E108" s="82"/>
      <c r="F108" s="82"/>
      <c r="G108" s="82"/>
      <c r="H108" s="82"/>
      <c r="I108" s="82"/>
      <c r="J108" s="82"/>
      <c r="K108" s="82"/>
      <c r="L108" s="372" t="str">
        <f>INDEX(PO!K$12:K$167,MATCH($A110,PO!$V$12:$V$167,0))</f>
        <v>10.4.</v>
      </c>
      <c r="M108" s="374" t="str">
        <f>INDEX(PO!N$12:N$167,MATCH($A110,PO!$V$12:$V$167,0))</f>
        <v>EXECUÇÃO DA ESTRUTURA - LAJE DE FORRO</v>
      </c>
      <c r="N108" s="376">
        <f>IF(ROUND(K110,2)=0,K110,ROUND(K110,2))</f>
        <v>1E-12</v>
      </c>
      <c r="O108" s="220" t="s">
        <v>143</v>
      </c>
      <c r="P108" s="226">
        <v>1</v>
      </c>
      <c r="Q108" s="227">
        <f aca="true" t="shared" si="85" ref="Q108:W108">IF($B110,0,Q109-IF(ISNUMBER(P109),P109,0))</f>
        <v>0</v>
      </c>
      <c r="R108" s="227">
        <f t="shared" si="85"/>
        <v>0</v>
      </c>
      <c r="S108" s="227">
        <f t="shared" si="85"/>
        <v>0</v>
      </c>
      <c r="T108" s="227">
        <f t="shared" si="85"/>
        <v>0</v>
      </c>
      <c r="U108" s="227">
        <f t="shared" si="85"/>
        <v>0</v>
      </c>
      <c r="V108" s="227">
        <f t="shared" si="85"/>
        <v>0</v>
      </c>
      <c r="W108" s="228">
        <f t="shared" si="85"/>
        <v>0</v>
      </c>
      <c r="X108" s="196"/>
      <c r="AC108" s="221">
        <f>IF($B110,0,AC109-IF(ISNUMBER(AB109),AB109,0))</f>
        <v>0</v>
      </c>
    </row>
    <row r="109" spans="1:29" ht="14.25">
      <c r="A109" s="184"/>
      <c r="B109" s="184"/>
      <c r="C109" s="184"/>
      <c r="D109" s="184"/>
      <c r="E109" s="184"/>
      <c r="F109" s="184"/>
      <c r="G109" s="184"/>
      <c r="H109" s="184"/>
      <c r="I109" s="184"/>
      <c r="J109" s="184"/>
      <c r="K109" s="184"/>
      <c r="L109" s="373"/>
      <c r="M109" s="375"/>
      <c r="N109" s="377"/>
      <c r="O109" s="170" t="s">
        <v>145</v>
      </c>
      <c r="P109" s="198">
        <f aca="true" t="shared" si="86" ref="P109:W109">MIN(IF($B110,P108+IF(ISNUMBER(O109),O109,0),P110/$N108),1)</f>
        <v>1</v>
      </c>
      <c r="Q109" s="168">
        <f t="shared" si="86"/>
        <v>1</v>
      </c>
      <c r="R109" s="168">
        <f t="shared" si="86"/>
        <v>1</v>
      </c>
      <c r="S109" s="168">
        <f t="shared" si="86"/>
        <v>1</v>
      </c>
      <c r="T109" s="168">
        <f t="shared" si="86"/>
        <v>1</v>
      </c>
      <c r="U109" s="168">
        <f t="shared" si="86"/>
        <v>1</v>
      </c>
      <c r="V109" s="168">
        <f t="shared" si="86"/>
        <v>1</v>
      </c>
      <c r="W109" s="168">
        <f t="shared" si="86"/>
        <v>1</v>
      </c>
      <c r="X109" s="196"/>
      <c r="AC109" s="168">
        <f>MIN(IF($B110,AC108+IF(ISNUMBER(AB109),AB109,0),AC110/$N108),1)</f>
        <v>0</v>
      </c>
    </row>
    <row r="110" spans="1:29" ht="14.25">
      <c r="A110" s="184">
        <f ca="1">OFFSET(A110,-CFF.NumLinha,0)+1</f>
        <v>31</v>
      </c>
      <c r="B110" s="184" t="b">
        <f ca="1">$C110&gt;=OFFSET($C110,CFF.NumLinha,0)</f>
        <v>1</v>
      </c>
      <c r="C110" s="184">
        <f>INDEX(PO!A$12:A$167,MATCH($A110,PO!$V$12:$V$167,0))</f>
        <v>2</v>
      </c>
      <c r="D110" s="184">
        <f>IF(ISERROR(J110),I110,SMALL(I110:J110,1))-1</f>
        <v>2</v>
      </c>
      <c r="E110" s="184">
        <f ca="1">IF($C110=1,OFFSET(E110,-CFF.NumLinha,0)+1,OFFSET(E110,-CFF.NumLinha,0))</f>
        <v>10</v>
      </c>
      <c r="F110" s="184">
        <f ca="1">IF($C110=1,0,IF($C110=2,OFFSET(F110,-CFF.NumLinha,0)+1,OFFSET(F110,-CFF.NumLinha,0)))</f>
        <v>4</v>
      </c>
      <c r="G110" s="184">
        <f ca="1">IF(AND($C110&lt;=2,$C110&lt;&gt;0),0,IF($C110=3,OFFSET(G110,-CFF.NumLinha,0)+1,OFFSET(G110,-CFF.NumLinha,0)))</f>
        <v>0</v>
      </c>
      <c r="H110" s="184">
        <f ca="1">IF(AND($C110&lt;=3,$C110&lt;&gt;0),0,IF($C110=4,OFFSET(H110,-CFF.NumLinha,0)+1,OFFSET(H110,-CFF.NumLinha,0)))</f>
        <v>0</v>
      </c>
      <c r="I110" s="184">
        <f ca="1">MATCH(0,OFFSET($D110,1,$C110,ROW($A$135)-ROW($A110)),0)</f>
        <v>24</v>
      </c>
      <c r="J110" s="184">
        <f ca="1">MATCH(OFFSET($D110,0,$C110)+1,OFFSET($D110,1,$C110,ROW($A$135)-ROW($A110)),0)</f>
        <v>3</v>
      </c>
      <c r="K110" s="185">
        <f>ROUND(INDEX(PO!T$12:T$167,MATCH($A110,PO!$V$12:$V$167,0)),2)+10^-12</f>
        <v>1E-12</v>
      </c>
      <c r="L110" s="373"/>
      <c r="M110" s="375"/>
      <c r="N110" s="377"/>
      <c r="O110" s="204" t="s">
        <v>20</v>
      </c>
      <c r="P110" s="199">
        <f aca="true" ca="1" t="shared" si="87" ref="P110:W110">IF($B110,ROUND(P109*$N108,2),ROUND(SUMIF(OFFSET($B110,1,0,$D110),TRUE,OFFSET(P110,1,0,$D110))/SUMIF(OFFSET($B110,1,0,$D110),TRUE,OFFSET($K110,1,0,$D110))*$N108,2))</f>
        <v>0</v>
      </c>
      <c r="Q110" s="169">
        <f ca="1" t="shared" si="87"/>
        <v>0</v>
      </c>
      <c r="R110" s="169">
        <f ca="1" t="shared" si="87"/>
        <v>0</v>
      </c>
      <c r="S110" s="169">
        <f ca="1" t="shared" si="87"/>
        <v>0</v>
      </c>
      <c r="T110" s="169">
        <f ca="1" t="shared" si="87"/>
        <v>0</v>
      </c>
      <c r="U110" s="169">
        <f ca="1" t="shared" si="87"/>
        <v>0</v>
      </c>
      <c r="V110" s="169">
        <f ca="1" t="shared" si="87"/>
        <v>0</v>
      </c>
      <c r="W110" s="207">
        <f ca="1" t="shared" si="87"/>
        <v>0</v>
      </c>
      <c r="X110" s="196"/>
      <c r="AC110" s="169">
        <f ca="1">IF($B110,ROUND(AC109*$N108,2),ROUND(SUMIF(OFFSET($B110,1,0,$D110),TRUE,OFFSET(AC110,1,0,$D110))/SUMIF(OFFSET($B110,1,0,$D110),TRUE,OFFSET($K110,1,0,$D110))*$N108,2))</f>
        <v>0</v>
      </c>
    </row>
    <row r="111" spans="1:29" ht="14.25" customHeight="1">
      <c r="A111" s="82"/>
      <c r="B111" s="82"/>
      <c r="C111" s="82"/>
      <c r="D111" s="82"/>
      <c r="E111" s="82"/>
      <c r="F111" s="82"/>
      <c r="G111" s="82"/>
      <c r="H111" s="82"/>
      <c r="I111" s="82"/>
      <c r="J111" s="82"/>
      <c r="K111" s="82"/>
      <c r="L111" s="372" t="str">
        <f>INDEX(PO!K$12:K$167,MATCH($A113,PO!$V$12:$V$167,0))</f>
        <v>10.5.</v>
      </c>
      <c r="M111" s="374" t="str">
        <f>INDEX(PO!N$12:N$167,MATCH($A113,PO!$V$12:$V$167,0))</f>
        <v>EXECUÇÃO DE ALVENARIA ATÉ A LAJE DE FORRO</v>
      </c>
      <c r="N111" s="376">
        <f>IF(ROUND(K113,2)=0,K113,ROUND(K113,2))</f>
        <v>1E-12</v>
      </c>
      <c r="O111" s="220" t="s">
        <v>143</v>
      </c>
      <c r="P111" s="226">
        <f>IF($B113,0,P112-IF(ISNUMBER(O112),O112,0))</f>
        <v>0</v>
      </c>
      <c r="Q111" s="227">
        <v>1</v>
      </c>
      <c r="R111" s="227">
        <f aca="true" t="shared" si="88" ref="R111:W111">IF($B113,0,R112-IF(ISNUMBER(Q112),Q112,0))</f>
        <v>0</v>
      </c>
      <c r="S111" s="227">
        <f t="shared" si="88"/>
        <v>0</v>
      </c>
      <c r="T111" s="227">
        <f t="shared" si="88"/>
        <v>0</v>
      </c>
      <c r="U111" s="227">
        <f t="shared" si="88"/>
        <v>0</v>
      </c>
      <c r="V111" s="227">
        <f t="shared" si="88"/>
        <v>0</v>
      </c>
      <c r="W111" s="228">
        <f t="shared" si="88"/>
        <v>0</v>
      </c>
      <c r="X111" s="196"/>
      <c r="AC111" s="221">
        <f>IF($B113,0,AC112-IF(ISNUMBER(AB112),AB112,0))</f>
        <v>0</v>
      </c>
    </row>
    <row r="112" spans="1:29" ht="14.25">
      <c r="A112" s="184"/>
      <c r="B112" s="184"/>
      <c r="C112" s="184"/>
      <c r="D112" s="184"/>
      <c r="E112" s="184"/>
      <c r="F112" s="184"/>
      <c r="G112" s="184"/>
      <c r="H112" s="184"/>
      <c r="I112" s="184"/>
      <c r="J112" s="184"/>
      <c r="K112" s="184"/>
      <c r="L112" s="373"/>
      <c r="M112" s="375"/>
      <c r="N112" s="377"/>
      <c r="O112" s="170" t="s">
        <v>145</v>
      </c>
      <c r="P112" s="198">
        <f aca="true" t="shared" si="89" ref="P112:W112">MIN(IF($B113,P111+IF(ISNUMBER(O112),O112,0),P113/$N111),1)</f>
        <v>0</v>
      </c>
      <c r="Q112" s="168">
        <f t="shared" si="89"/>
        <v>1</v>
      </c>
      <c r="R112" s="168">
        <f t="shared" si="89"/>
        <v>1</v>
      </c>
      <c r="S112" s="168">
        <f t="shared" si="89"/>
        <v>1</v>
      </c>
      <c r="T112" s="168">
        <f t="shared" si="89"/>
        <v>1</v>
      </c>
      <c r="U112" s="168">
        <f t="shared" si="89"/>
        <v>1</v>
      </c>
      <c r="V112" s="168">
        <f t="shared" si="89"/>
        <v>1</v>
      </c>
      <c r="W112" s="168">
        <f t="shared" si="89"/>
        <v>1</v>
      </c>
      <c r="X112" s="196"/>
      <c r="AC112" s="168">
        <f>MIN(IF($B113,AC111+IF(ISNUMBER(AB112),AB112,0),AC113/$N111),1)</f>
        <v>0</v>
      </c>
    </row>
    <row r="113" spans="1:29" ht="14.25">
      <c r="A113" s="184">
        <f ca="1">OFFSET(A113,-CFF.NumLinha,0)+1</f>
        <v>32</v>
      </c>
      <c r="B113" s="184" t="b">
        <f ca="1">$C113&gt;=OFFSET($C113,CFF.NumLinha,0)</f>
        <v>1</v>
      </c>
      <c r="C113" s="184">
        <f>INDEX(PO!A$12:A$167,MATCH($A113,PO!$V$12:$V$167,0))</f>
        <v>2</v>
      </c>
      <c r="D113" s="184">
        <f>IF(ISERROR(J113),I113,SMALL(I113:J113,1))-1</f>
        <v>2</v>
      </c>
      <c r="E113" s="184">
        <f ca="1">IF($C113=1,OFFSET(E113,-CFF.NumLinha,0)+1,OFFSET(E113,-CFF.NumLinha,0))</f>
        <v>10</v>
      </c>
      <c r="F113" s="184">
        <f ca="1">IF($C113=1,0,IF($C113=2,OFFSET(F113,-CFF.NumLinha,0)+1,OFFSET(F113,-CFF.NumLinha,0)))</f>
        <v>5</v>
      </c>
      <c r="G113" s="184">
        <f ca="1">IF(AND($C113&lt;=2,$C113&lt;&gt;0),0,IF($C113=3,OFFSET(G113,-CFF.NumLinha,0)+1,OFFSET(G113,-CFF.NumLinha,0)))</f>
        <v>0</v>
      </c>
      <c r="H113" s="184">
        <f ca="1">IF(AND($C113&lt;=3,$C113&lt;&gt;0),0,IF($C113=4,OFFSET(H113,-CFF.NumLinha,0)+1,OFFSET(H113,-CFF.NumLinha,0)))</f>
        <v>0</v>
      </c>
      <c r="I113" s="184">
        <f ca="1">MATCH(0,OFFSET($D113,1,$C113,ROW($A$135)-ROW($A113)),0)</f>
        <v>21</v>
      </c>
      <c r="J113" s="184">
        <f ca="1">MATCH(OFFSET($D113,0,$C113)+1,OFFSET($D113,1,$C113,ROW($A$135)-ROW($A113)),0)</f>
        <v>3</v>
      </c>
      <c r="K113" s="185">
        <f>ROUND(INDEX(PO!T$12:T$167,MATCH($A113,PO!$V$12:$V$167,0)),2)+10^-12</f>
        <v>1E-12</v>
      </c>
      <c r="L113" s="373"/>
      <c r="M113" s="375"/>
      <c r="N113" s="377"/>
      <c r="O113" s="204" t="s">
        <v>20</v>
      </c>
      <c r="P113" s="199">
        <f aca="true" ca="1" t="shared" si="90" ref="P113:W113">IF($B113,ROUND(P112*$N111,2),ROUND(SUMIF(OFFSET($B113,1,0,$D113),TRUE,OFFSET(P113,1,0,$D113))/SUMIF(OFFSET($B113,1,0,$D113),TRUE,OFFSET($K113,1,0,$D113))*$N111,2))</f>
        <v>0</v>
      </c>
      <c r="Q113" s="169">
        <f ca="1" t="shared" si="90"/>
        <v>0</v>
      </c>
      <c r="R113" s="169">
        <f ca="1" t="shared" si="90"/>
        <v>0</v>
      </c>
      <c r="S113" s="169">
        <f ca="1" t="shared" si="90"/>
        <v>0</v>
      </c>
      <c r="T113" s="169">
        <f ca="1" t="shared" si="90"/>
        <v>0</v>
      </c>
      <c r="U113" s="169">
        <f ca="1" t="shared" si="90"/>
        <v>0</v>
      </c>
      <c r="V113" s="169">
        <f ca="1" t="shared" si="90"/>
        <v>0</v>
      </c>
      <c r="W113" s="207">
        <f ca="1" t="shared" si="90"/>
        <v>0</v>
      </c>
      <c r="X113" s="196"/>
      <c r="AC113" s="169">
        <f ca="1">IF($B113,ROUND(AC112*$N111,2),ROUND(SUMIF(OFFSET($B113,1,0,$D113),TRUE,OFFSET(AC113,1,0,$D113))/SUMIF(OFFSET($B113,1,0,$D113),TRUE,OFFSET($K113,1,0,$D113))*$N111,2))</f>
        <v>0</v>
      </c>
    </row>
    <row r="114" spans="1:29" ht="14.25" customHeight="1">
      <c r="A114" s="82"/>
      <c r="B114" s="82"/>
      <c r="C114" s="82"/>
      <c r="D114" s="82"/>
      <c r="E114" s="82"/>
      <c r="F114" s="82"/>
      <c r="G114" s="82"/>
      <c r="H114" s="82"/>
      <c r="I114" s="82"/>
      <c r="J114" s="82"/>
      <c r="K114" s="82"/>
      <c r="L114" s="372" t="str">
        <f>INDEX(PO!K$12:K$167,MATCH($A116,PO!$V$12:$V$167,0))</f>
        <v>10.6.</v>
      </c>
      <c r="M114" s="374" t="str">
        <f>INDEX(PO!N$12:N$167,MATCH($A116,PO!$V$12:$V$167,0))</f>
        <v>PISO     </v>
      </c>
      <c r="N114" s="376">
        <f>IF(ROUND(K116,2)=0,K116,ROUND(K116,2))</f>
        <v>1E-12</v>
      </c>
      <c r="O114" s="220" t="s">
        <v>143</v>
      </c>
      <c r="P114" s="226">
        <f>IF($B116,0,P115-IF(ISNUMBER(O115),O115,0))</f>
        <v>0</v>
      </c>
      <c r="Q114" s="227">
        <v>1</v>
      </c>
      <c r="R114" s="227">
        <f aca="true" t="shared" si="91" ref="R114:W114">IF($B116,0,R115-IF(ISNUMBER(Q115),Q115,0))</f>
        <v>0</v>
      </c>
      <c r="S114" s="227">
        <f t="shared" si="91"/>
        <v>0</v>
      </c>
      <c r="T114" s="227">
        <f t="shared" si="91"/>
        <v>0</v>
      </c>
      <c r="U114" s="227">
        <f t="shared" si="91"/>
        <v>0</v>
      </c>
      <c r="V114" s="227">
        <f t="shared" si="91"/>
        <v>0</v>
      </c>
      <c r="W114" s="228">
        <f t="shared" si="91"/>
        <v>0</v>
      </c>
      <c r="X114" s="196"/>
      <c r="AC114" s="221">
        <f>IF($B116,0,AC115-IF(ISNUMBER(AB115),AB115,0))</f>
        <v>0</v>
      </c>
    </row>
    <row r="115" spans="1:29" ht="14.25">
      <c r="A115" s="184"/>
      <c r="B115" s="184"/>
      <c r="C115" s="184"/>
      <c r="D115" s="184"/>
      <c r="E115" s="184"/>
      <c r="F115" s="184"/>
      <c r="G115" s="184"/>
      <c r="H115" s="184"/>
      <c r="I115" s="184"/>
      <c r="J115" s="184"/>
      <c r="K115" s="184"/>
      <c r="L115" s="373"/>
      <c r="M115" s="375"/>
      <c r="N115" s="377"/>
      <c r="O115" s="170" t="s">
        <v>145</v>
      </c>
      <c r="P115" s="198">
        <f aca="true" t="shared" si="92" ref="P115:W115">MIN(IF($B116,P114+IF(ISNUMBER(O115),O115,0),P116/$N114),1)</f>
        <v>0</v>
      </c>
      <c r="Q115" s="168">
        <f t="shared" si="92"/>
        <v>1</v>
      </c>
      <c r="R115" s="168">
        <f t="shared" si="92"/>
        <v>1</v>
      </c>
      <c r="S115" s="168">
        <f t="shared" si="92"/>
        <v>1</v>
      </c>
      <c r="T115" s="168">
        <f t="shared" si="92"/>
        <v>1</v>
      </c>
      <c r="U115" s="168">
        <f t="shared" si="92"/>
        <v>1</v>
      </c>
      <c r="V115" s="168">
        <f t="shared" si="92"/>
        <v>1</v>
      </c>
      <c r="W115" s="168">
        <f t="shared" si="92"/>
        <v>1</v>
      </c>
      <c r="X115" s="196"/>
      <c r="AC115" s="168">
        <f>MIN(IF($B116,AC114+IF(ISNUMBER(AB115),AB115,0),AC116/$N114),1)</f>
        <v>0</v>
      </c>
    </row>
    <row r="116" spans="1:29" ht="14.25">
      <c r="A116" s="184">
        <f ca="1">OFFSET(A116,-CFF.NumLinha,0)+1</f>
        <v>33</v>
      </c>
      <c r="B116" s="184" t="b">
        <f ca="1">$C116&gt;=OFFSET($C116,CFF.NumLinha,0)</f>
        <v>1</v>
      </c>
      <c r="C116" s="184">
        <f>INDEX(PO!A$12:A$167,MATCH($A116,PO!$V$12:$V$167,0))</f>
        <v>2</v>
      </c>
      <c r="D116" s="184">
        <f>IF(ISERROR(J116),I116,SMALL(I116:J116,1))-1</f>
        <v>2</v>
      </c>
      <c r="E116" s="184">
        <f ca="1">IF($C116=1,OFFSET(E116,-CFF.NumLinha,0)+1,OFFSET(E116,-CFF.NumLinha,0))</f>
        <v>10</v>
      </c>
      <c r="F116" s="184">
        <f ca="1">IF($C116=1,0,IF($C116=2,OFFSET(F116,-CFF.NumLinha,0)+1,OFFSET(F116,-CFF.NumLinha,0)))</f>
        <v>6</v>
      </c>
      <c r="G116" s="184">
        <f ca="1">IF(AND($C116&lt;=2,$C116&lt;&gt;0),0,IF($C116=3,OFFSET(G116,-CFF.NumLinha,0)+1,OFFSET(G116,-CFF.NumLinha,0)))</f>
        <v>0</v>
      </c>
      <c r="H116" s="184">
        <f ca="1">IF(AND($C116&lt;=3,$C116&lt;&gt;0),0,IF($C116=4,OFFSET(H116,-CFF.NumLinha,0)+1,OFFSET(H116,-CFF.NumLinha,0)))</f>
        <v>0</v>
      </c>
      <c r="I116" s="184">
        <f ca="1">MATCH(0,OFFSET($D116,1,$C116,ROW($A$135)-ROW($A116)),0)</f>
        <v>18</v>
      </c>
      <c r="J116" s="184">
        <f ca="1">MATCH(OFFSET($D116,0,$C116)+1,OFFSET($D116,1,$C116,ROW($A$135)-ROW($A116)),0)</f>
        <v>3</v>
      </c>
      <c r="K116" s="185">
        <f>ROUND(INDEX(PO!T$12:T$167,MATCH($A116,PO!$V$12:$V$167,0)),2)+10^-12</f>
        <v>1E-12</v>
      </c>
      <c r="L116" s="373"/>
      <c r="M116" s="375"/>
      <c r="N116" s="377"/>
      <c r="O116" s="204" t="s">
        <v>20</v>
      </c>
      <c r="P116" s="199">
        <f aca="true" ca="1" t="shared" si="93" ref="P116:W116">IF($B116,ROUND(P115*$N114,2),ROUND(SUMIF(OFFSET($B116,1,0,$D116),TRUE,OFFSET(P116,1,0,$D116))/SUMIF(OFFSET($B116,1,0,$D116),TRUE,OFFSET($K116,1,0,$D116))*$N114,2))</f>
        <v>0</v>
      </c>
      <c r="Q116" s="169">
        <f ca="1" t="shared" si="93"/>
        <v>0</v>
      </c>
      <c r="R116" s="169">
        <f ca="1" t="shared" si="93"/>
        <v>0</v>
      </c>
      <c r="S116" s="169">
        <f ca="1" t="shared" si="93"/>
        <v>0</v>
      </c>
      <c r="T116" s="169">
        <f ca="1" t="shared" si="93"/>
        <v>0</v>
      </c>
      <c r="U116" s="169">
        <f ca="1" t="shared" si="93"/>
        <v>0</v>
      </c>
      <c r="V116" s="169">
        <f ca="1" t="shared" si="93"/>
        <v>0</v>
      </c>
      <c r="W116" s="207">
        <f ca="1" t="shared" si="93"/>
        <v>0</v>
      </c>
      <c r="X116" s="196"/>
      <c r="AC116" s="169">
        <f ca="1">IF($B116,ROUND(AC115*$N114,2),ROUND(SUMIF(OFFSET($B116,1,0,$D116),TRUE,OFFSET(AC116,1,0,$D116))/SUMIF(OFFSET($B116,1,0,$D116),TRUE,OFFSET($K116,1,0,$D116))*$N114,2))</f>
        <v>0</v>
      </c>
    </row>
    <row r="117" spans="1:29" ht="14.25" customHeight="1">
      <c r="A117" s="82"/>
      <c r="B117" s="82"/>
      <c r="C117" s="82"/>
      <c r="D117" s="82"/>
      <c r="E117" s="82"/>
      <c r="F117" s="82"/>
      <c r="G117" s="82"/>
      <c r="H117" s="82"/>
      <c r="I117" s="82"/>
      <c r="J117" s="82"/>
      <c r="K117" s="82"/>
      <c r="L117" s="372" t="str">
        <f>INDEX(PO!K$12:K$167,MATCH($A119,PO!$V$12:$V$167,0))</f>
        <v>10.7.</v>
      </c>
      <c r="M117" s="374" t="str">
        <f>INDEX(PO!N$12:N$167,MATCH($A119,PO!$V$12:$V$167,0))</f>
        <v>REBOCO INTERNO (Paredes e teto)</v>
      </c>
      <c r="N117" s="376">
        <f>IF(ROUND(K119,2)=0,K119,ROUND(K119,2))</f>
        <v>1E-12</v>
      </c>
      <c r="O117" s="220" t="s">
        <v>143</v>
      </c>
      <c r="P117" s="226">
        <f>IF($B119,0,P118-IF(ISNUMBER(O118),O118,0))</f>
        <v>0</v>
      </c>
      <c r="Q117" s="227">
        <v>1</v>
      </c>
      <c r="R117" s="227">
        <f aca="true" t="shared" si="94" ref="R117:W117">IF($B119,0,R118-IF(ISNUMBER(Q118),Q118,0))</f>
        <v>0</v>
      </c>
      <c r="S117" s="227">
        <f t="shared" si="94"/>
        <v>0</v>
      </c>
      <c r="T117" s="227">
        <f t="shared" si="94"/>
        <v>0</v>
      </c>
      <c r="U117" s="227">
        <f t="shared" si="94"/>
        <v>0</v>
      </c>
      <c r="V117" s="227">
        <f t="shared" si="94"/>
        <v>0</v>
      </c>
      <c r="W117" s="228">
        <f t="shared" si="94"/>
        <v>0</v>
      </c>
      <c r="X117" s="196"/>
      <c r="AC117" s="221">
        <f>IF($B119,0,AC118-IF(ISNUMBER(AB118),AB118,0))</f>
        <v>0</v>
      </c>
    </row>
    <row r="118" spans="1:29" ht="14.25">
      <c r="A118" s="184"/>
      <c r="B118" s="184"/>
      <c r="C118" s="184"/>
      <c r="D118" s="184"/>
      <c r="E118" s="184"/>
      <c r="F118" s="184"/>
      <c r="G118" s="184"/>
      <c r="H118" s="184"/>
      <c r="I118" s="184"/>
      <c r="J118" s="184"/>
      <c r="K118" s="184"/>
      <c r="L118" s="373"/>
      <c r="M118" s="375"/>
      <c r="N118" s="377"/>
      <c r="O118" s="170" t="s">
        <v>145</v>
      </c>
      <c r="P118" s="198">
        <f aca="true" t="shared" si="95" ref="P118:W118">MIN(IF($B119,P117+IF(ISNUMBER(O118),O118,0),P119/$N117),1)</f>
        <v>0</v>
      </c>
      <c r="Q118" s="168">
        <f t="shared" si="95"/>
        <v>1</v>
      </c>
      <c r="R118" s="168">
        <f t="shared" si="95"/>
        <v>1</v>
      </c>
      <c r="S118" s="168">
        <f t="shared" si="95"/>
        <v>1</v>
      </c>
      <c r="T118" s="168">
        <f t="shared" si="95"/>
        <v>1</v>
      </c>
      <c r="U118" s="168">
        <f t="shared" si="95"/>
        <v>1</v>
      </c>
      <c r="V118" s="168">
        <f t="shared" si="95"/>
        <v>1</v>
      </c>
      <c r="W118" s="168">
        <f t="shared" si="95"/>
        <v>1</v>
      </c>
      <c r="X118" s="196"/>
      <c r="AC118" s="168">
        <f>MIN(IF($B119,AC117+IF(ISNUMBER(AB118),AB118,0),AC119/$N117),1)</f>
        <v>0</v>
      </c>
    </row>
    <row r="119" spans="1:29" ht="14.25">
      <c r="A119" s="184">
        <f ca="1">OFFSET(A119,-CFF.NumLinha,0)+1</f>
        <v>34</v>
      </c>
      <c r="B119" s="184" t="b">
        <f ca="1">$C119&gt;=OFFSET($C119,CFF.NumLinha,0)</f>
        <v>1</v>
      </c>
      <c r="C119" s="184">
        <f>INDEX(PO!A$12:A$167,MATCH($A119,PO!$V$12:$V$167,0))</f>
        <v>2</v>
      </c>
      <c r="D119" s="184">
        <f>IF(ISERROR(J119),I119,SMALL(I119:J119,1))-1</f>
        <v>2</v>
      </c>
      <c r="E119" s="184">
        <f ca="1">IF($C119=1,OFFSET(E119,-CFF.NumLinha,0)+1,OFFSET(E119,-CFF.NumLinha,0))</f>
        <v>10</v>
      </c>
      <c r="F119" s="184">
        <f ca="1">IF($C119=1,0,IF($C119=2,OFFSET(F119,-CFF.NumLinha,0)+1,OFFSET(F119,-CFF.NumLinha,0)))</f>
        <v>7</v>
      </c>
      <c r="G119" s="184">
        <f ca="1">IF(AND($C119&lt;=2,$C119&lt;&gt;0),0,IF($C119=3,OFFSET(G119,-CFF.NumLinha,0)+1,OFFSET(G119,-CFF.NumLinha,0)))</f>
        <v>0</v>
      </c>
      <c r="H119" s="184">
        <f ca="1">IF(AND($C119&lt;=3,$C119&lt;&gt;0),0,IF($C119=4,OFFSET(H119,-CFF.NumLinha,0)+1,OFFSET(H119,-CFF.NumLinha,0)))</f>
        <v>0</v>
      </c>
      <c r="I119" s="184">
        <f ca="1">MATCH(0,OFFSET($D119,1,$C119,ROW($A$135)-ROW($A119)),0)</f>
        <v>15</v>
      </c>
      <c r="J119" s="184">
        <f ca="1">MATCH(OFFSET($D119,0,$C119)+1,OFFSET($D119,1,$C119,ROW($A$135)-ROW($A119)),0)</f>
        <v>3</v>
      </c>
      <c r="K119" s="185">
        <f>ROUND(INDEX(PO!T$12:T$167,MATCH($A119,PO!$V$12:$V$167,0)),2)+10^-12</f>
        <v>1E-12</v>
      </c>
      <c r="L119" s="373"/>
      <c r="M119" s="375"/>
      <c r="N119" s="377"/>
      <c r="O119" s="204" t="s">
        <v>20</v>
      </c>
      <c r="P119" s="199">
        <f aca="true" ca="1" t="shared" si="96" ref="P119:W119">IF($B119,ROUND(P118*$N117,2),ROUND(SUMIF(OFFSET($B119,1,0,$D119),TRUE,OFFSET(P119,1,0,$D119))/SUMIF(OFFSET($B119,1,0,$D119),TRUE,OFFSET($K119,1,0,$D119))*$N117,2))</f>
        <v>0</v>
      </c>
      <c r="Q119" s="169">
        <f ca="1" t="shared" si="96"/>
        <v>0</v>
      </c>
      <c r="R119" s="169">
        <f ca="1" t="shared" si="96"/>
        <v>0</v>
      </c>
      <c r="S119" s="169">
        <f ca="1" t="shared" si="96"/>
        <v>0</v>
      </c>
      <c r="T119" s="169">
        <f ca="1" t="shared" si="96"/>
        <v>0</v>
      </c>
      <c r="U119" s="169">
        <f ca="1" t="shared" si="96"/>
        <v>0</v>
      </c>
      <c r="V119" s="169">
        <f ca="1" t="shared" si="96"/>
        <v>0</v>
      </c>
      <c r="W119" s="207">
        <f ca="1" t="shared" si="96"/>
        <v>0</v>
      </c>
      <c r="X119" s="196"/>
      <c r="AC119" s="169">
        <f ca="1">IF($B119,ROUND(AC118*$N117,2),ROUND(SUMIF(OFFSET($B119,1,0,$D119),TRUE,OFFSET(AC119,1,0,$D119))/SUMIF(OFFSET($B119,1,0,$D119),TRUE,OFFSET($K119,1,0,$D119))*$N117,2))</f>
        <v>0</v>
      </c>
    </row>
    <row r="120" spans="1:29" ht="14.25" customHeight="1">
      <c r="A120" s="82"/>
      <c r="B120" s="82"/>
      <c r="C120" s="82"/>
      <c r="D120" s="82"/>
      <c r="E120" s="82"/>
      <c r="F120" s="82"/>
      <c r="G120" s="82"/>
      <c r="H120" s="82"/>
      <c r="I120" s="82"/>
      <c r="J120" s="82"/>
      <c r="K120" s="82"/>
      <c r="L120" s="372" t="str">
        <f>INDEX(PO!K$12:K$167,MATCH($A122,PO!$V$12:$V$167,0))</f>
        <v>10.8.</v>
      </c>
      <c r="M120" s="374" t="str">
        <f>INDEX(PO!N$12:N$167,MATCH($A122,PO!$V$12:$V$167,0))</f>
        <v>REBOCO EXTERNO</v>
      </c>
      <c r="N120" s="376">
        <f>IF(ROUND(K122,2)=0,K122,ROUND(K122,2))</f>
        <v>1E-12</v>
      </c>
      <c r="O120" s="220" t="s">
        <v>143</v>
      </c>
      <c r="P120" s="226">
        <f>IF($B122,0,P121-IF(ISNUMBER(O121),O121,0))</f>
        <v>0</v>
      </c>
      <c r="Q120" s="227">
        <v>1</v>
      </c>
      <c r="R120" s="227">
        <f aca="true" t="shared" si="97" ref="R120:W120">IF($B122,0,R121-IF(ISNUMBER(Q121),Q121,0))</f>
        <v>0</v>
      </c>
      <c r="S120" s="227">
        <f t="shared" si="97"/>
        <v>0</v>
      </c>
      <c r="T120" s="227">
        <f t="shared" si="97"/>
        <v>0</v>
      </c>
      <c r="U120" s="227">
        <f t="shared" si="97"/>
        <v>0</v>
      </c>
      <c r="V120" s="227">
        <f t="shared" si="97"/>
        <v>0</v>
      </c>
      <c r="W120" s="228">
        <f t="shared" si="97"/>
        <v>0</v>
      </c>
      <c r="X120" s="196"/>
      <c r="AC120" s="221">
        <f>IF($B122,0,AC121-IF(ISNUMBER(AB121),AB121,0))</f>
        <v>0</v>
      </c>
    </row>
    <row r="121" spans="1:29" ht="14.25">
      <c r="A121" s="184"/>
      <c r="B121" s="184"/>
      <c r="C121" s="184"/>
      <c r="D121" s="184"/>
      <c r="E121" s="184"/>
      <c r="F121" s="184"/>
      <c r="G121" s="184"/>
      <c r="H121" s="184"/>
      <c r="I121" s="184"/>
      <c r="J121" s="184"/>
      <c r="K121" s="184"/>
      <c r="L121" s="373"/>
      <c r="M121" s="375"/>
      <c r="N121" s="377"/>
      <c r="O121" s="170" t="s">
        <v>145</v>
      </c>
      <c r="P121" s="198">
        <f aca="true" t="shared" si="98" ref="P121:W121">MIN(IF($B122,P120+IF(ISNUMBER(O121),O121,0),P122/$N120),1)</f>
        <v>0</v>
      </c>
      <c r="Q121" s="168">
        <f t="shared" si="98"/>
        <v>1</v>
      </c>
      <c r="R121" s="168">
        <f t="shared" si="98"/>
        <v>1</v>
      </c>
      <c r="S121" s="168">
        <f t="shared" si="98"/>
        <v>1</v>
      </c>
      <c r="T121" s="168">
        <f t="shared" si="98"/>
        <v>1</v>
      </c>
      <c r="U121" s="168">
        <f t="shared" si="98"/>
        <v>1</v>
      </c>
      <c r="V121" s="168">
        <f t="shared" si="98"/>
        <v>1</v>
      </c>
      <c r="W121" s="168">
        <f t="shared" si="98"/>
        <v>1</v>
      </c>
      <c r="X121" s="196"/>
      <c r="AC121" s="168">
        <f>MIN(IF($B122,AC120+IF(ISNUMBER(AB121),AB121,0),AC122/$N120),1)</f>
        <v>0</v>
      </c>
    </row>
    <row r="122" spans="1:29" ht="14.25">
      <c r="A122" s="184">
        <f ca="1">OFFSET(A122,-CFF.NumLinha,0)+1</f>
        <v>35</v>
      </c>
      <c r="B122" s="184" t="b">
        <f ca="1">$C122&gt;=OFFSET($C122,CFF.NumLinha,0)</f>
        <v>1</v>
      </c>
      <c r="C122" s="184">
        <f>INDEX(PO!A$12:A$167,MATCH($A122,PO!$V$12:$V$167,0))</f>
        <v>2</v>
      </c>
      <c r="D122" s="184">
        <f>IF(ISERROR(J122),I122,SMALL(I122:J122,1))-1</f>
        <v>2</v>
      </c>
      <c r="E122" s="184">
        <f ca="1">IF($C122=1,OFFSET(E122,-CFF.NumLinha,0)+1,OFFSET(E122,-CFF.NumLinha,0))</f>
        <v>10</v>
      </c>
      <c r="F122" s="184">
        <f ca="1">IF($C122=1,0,IF($C122=2,OFFSET(F122,-CFF.NumLinha,0)+1,OFFSET(F122,-CFF.NumLinha,0)))</f>
        <v>8</v>
      </c>
      <c r="G122" s="184">
        <f ca="1">IF(AND($C122&lt;=2,$C122&lt;&gt;0),0,IF($C122=3,OFFSET(G122,-CFF.NumLinha,0)+1,OFFSET(G122,-CFF.NumLinha,0)))</f>
        <v>0</v>
      </c>
      <c r="H122" s="184">
        <f ca="1">IF(AND($C122&lt;=3,$C122&lt;&gt;0),0,IF($C122=4,OFFSET(H122,-CFF.NumLinha,0)+1,OFFSET(H122,-CFF.NumLinha,0)))</f>
        <v>0</v>
      </c>
      <c r="I122" s="184">
        <f ca="1">MATCH(0,OFFSET($D122,1,$C122,ROW($A$135)-ROW($A122)),0)</f>
        <v>12</v>
      </c>
      <c r="J122" s="184">
        <f ca="1">MATCH(OFFSET($D122,0,$C122)+1,OFFSET($D122,1,$C122,ROW($A$135)-ROW($A122)),0)</f>
        <v>3</v>
      </c>
      <c r="K122" s="185">
        <f>ROUND(INDEX(PO!T$12:T$167,MATCH($A122,PO!$V$12:$V$167,0)),2)+10^-12</f>
        <v>1E-12</v>
      </c>
      <c r="L122" s="373"/>
      <c r="M122" s="375"/>
      <c r="N122" s="377"/>
      <c r="O122" s="204" t="s">
        <v>20</v>
      </c>
      <c r="P122" s="199">
        <f aca="true" ca="1" t="shared" si="99" ref="P122:W122">IF($B122,ROUND(P121*$N120,2),ROUND(SUMIF(OFFSET($B122,1,0,$D122),TRUE,OFFSET(P122,1,0,$D122))/SUMIF(OFFSET($B122,1,0,$D122),TRUE,OFFSET($K122,1,0,$D122))*$N120,2))</f>
        <v>0</v>
      </c>
      <c r="Q122" s="169">
        <f ca="1" t="shared" si="99"/>
        <v>0</v>
      </c>
      <c r="R122" s="169">
        <f ca="1" t="shared" si="99"/>
        <v>0</v>
      </c>
      <c r="S122" s="169">
        <f ca="1" t="shared" si="99"/>
        <v>0</v>
      </c>
      <c r="T122" s="169">
        <f ca="1" t="shared" si="99"/>
        <v>0</v>
      </c>
      <c r="U122" s="169">
        <f ca="1" t="shared" si="99"/>
        <v>0</v>
      </c>
      <c r="V122" s="169">
        <f ca="1" t="shared" si="99"/>
        <v>0</v>
      </c>
      <c r="W122" s="207">
        <f ca="1" t="shared" si="99"/>
        <v>0</v>
      </c>
      <c r="X122" s="196"/>
      <c r="AC122" s="169">
        <f ca="1">IF($B122,ROUND(AC121*$N120,2),ROUND(SUMIF(OFFSET($B122,1,0,$D122),TRUE,OFFSET(AC122,1,0,$D122))/SUMIF(OFFSET($B122,1,0,$D122),TRUE,OFFSET($K122,1,0,$D122))*$N120,2))</f>
        <v>0</v>
      </c>
    </row>
    <row r="123" spans="1:29" ht="14.25" customHeight="1">
      <c r="A123" s="82"/>
      <c r="B123" s="82"/>
      <c r="C123" s="82"/>
      <c r="D123" s="82"/>
      <c r="E123" s="82"/>
      <c r="F123" s="82"/>
      <c r="G123" s="82"/>
      <c r="H123" s="82"/>
      <c r="I123" s="82"/>
      <c r="J123" s="82"/>
      <c r="K123" s="82"/>
      <c r="L123" s="372" t="str">
        <f>INDEX(PO!K$12:K$167,MATCH($A125,PO!$V$12:$V$167,0))</f>
        <v>10.9.</v>
      </c>
      <c r="M123" s="374" t="str">
        <f>INDEX(PO!N$12:N$167,MATCH($A125,PO!$V$12:$V$167,0))</f>
        <v>PINTURA EXTERNA</v>
      </c>
      <c r="N123" s="376">
        <f>IF(ROUND(K125,2)=0,K125,ROUND(K125,2))</f>
        <v>1E-12</v>
      </c>
      <c r="O123" s="220" t="s">
        <v>143</v>
      </c>
      <c r="P123" s="226">
        <f>IF($B125,0,P124-IF(ISNUMBER(O124),O124,0))</f>
        <v>0</v>
      </c>
      <c r="Q123" s="227">
        <f>IF($B125,0,Q124-IF(ISNUMBER(P124),P124,0))</f>
        <v>0</v>
      </c>
      <c r="R123" s="227">
        <v>1</v>
      </c>
      <c r="S123" s="227">
        <f>IF($B125,0,S124-IF(ISNUMBER(R124),R124,0))</f>
        <v>0</v>
      </c>
      <c r="T123" s="227">
        <f>IF($B125,0,T124-IF(ISNUMBER(S124),S124,0))</f>
        <v>0</v>
      </c>
      <c r="U123" s="227">
        <f>IF($B125,0,U124-IF(ISNUMBER(T124),T124,0))</f>
        <v>0</v>
      </c>
      <c r="V123" s="227">
        <f>IF($B125,0,V124-IF(ISNUMBER(U124),U124,0))</f>
        <v>0</v>
      </c>
      <c r="W123" s="228">
        <f>IF($B125,0,W124-IF(ISNUMBER(V124),V124,0))</f>
        <v>0</v>
      </c>
      <c r="X123" s="196"/>
      <c r="AC123" s="221">
        <f>IF($B125,0,AC124-IF(ISNUMBER(AB124),AB124,0))</f>
        <v>0</v>
      </c>
    </row>
    <row r="124" spans="1:29" ht="14.25">
      <c r="A124" s="184"/>
      <c r="B124" s="184"/>
      <c r="C124" s="184"/>
      <c r="D124" s="184"/>
      <c r="E124" s="184"/>
      <c r="F124" s="184"/>
      <c r="G124" s="184"/>
      <c r="H124" s="184"/>
      <c r="I124" s="184"/>
      <c r="J124" s="184"/>
      <c r="K124" s="184"/>
      <c r="L124" s="373"/>
      <c r="M124" s="375"/>
      <c r="N124" s="377"/>
      <c r="O124" s="170" t="s">
        <v>145</v>
      </c>
      <c r="P124" s="198">
        <f aca="true" t="shared" si="100" ref="P124:W124">MIN(IF($B125,P123+IF(ISNUMBER(O124),O124,0),P125/$N123),1)</f>
        <v>0</v>
      </c>
      <c r="Q124" s="168">
        <f t="shared" si="100"/>
        <v>0</v>
      </c>
      <c r="R124" s="168">
        <f t="shared" si="100"/>
        <v>1</v>
      </c>
      <c r="S124" s="168">
        <f t="shared" si="100"/>
        <v>1</v>
      </c>
      <c r="T124" s="168">
        <f t="shared" si="100"/>
        <v>1</v>
      </c>
      <c r="U124" s="168">
        <f t="shared" si="100"/>
        <v>1</v>
      </c>
      <c r="V124" s="168">
        <f t="shared" si="100"/>
        <v>1</v>
      </c>
      <c r="W124" s="168">
        <f t="shared" si="100"/>
        <v>1</v>
      </c>
      <c r="X124" s="196"/>
      <c r="AC124" s="168">
        <f>MIN(IF($B125,AC123+IF(ISNUMBER(AB124),AB124,0),AC125/$N123),1)</f>
        <v>0</v>
      </c>
    </row>
    <row r="125" spans="1:29" ht="14.25">
      <c r="A125" s="184">
        <f ca="1">OFFSET(A125,-CFF.NumLinha,0)+1</f>
        <v>36</v>
      </c>
      <c r="B125" s="184" t="b">
        <f ca="1">$C125&gt;=OFFSET($C125,CFF.NumLinha,0)</f>
        <v>1</v>
      </c>
      <c r="C125" s="184">
        <f>INDEX(PO!A$12:A$167,MATCH($A125,PO!$V$12:$V$167,0))</f>
        <v>2</v>
      </c>
      <c r="D125" s="184">
        <f>IF(ISERROR(J125),I125,SMALL(I125:J125,1))-1</f>
        <v>2</v>
      </c>
      <c r="E125" s="184">
        <f ca="1">IF($C125=1,OFFSET(E125,-CFF.NumLinha,0)+1,OFFSET(E125,-CFF.NumLinha,0))</f>
        <v>10</v>
      </c>
      <c r="F125" s="184">
        <f ca="1">IF($C125=1,0,IF($C125=2,OFFSET(F125,-CFF.NumLinha,0)+1,OFFSET(F125,-CFF.NumLinha,0)))</f>
        <v>9</v>
      </c>
      <c r="G125" s="184">
        <f ca="1">IF(AND($C125&lt;=2,$C125&lt;&gt;0),0,IF($C125=3,OFFSET(G125,-CFF.NumLinha,0)+1,OFFSET(G125,-CFF.NumLinha,0)))</f>
        <v>0</v>
      </c>
      <c r="H125" s="184">
        <f ca="1">IF(AND($C125&lt;=3,$C125&lt;&gt;0),0,IF($C125=4,OFFSET(H125,-CFF.NumLinha,0)+1,OFFSET(H125,-CFF.NumLinha,0)))</f>
        <v>0</v>
      </c>
      <c r="I125" s="184">
        <f ca="1">MATCH(0,OFFSET($D125,1,$C125,ROW($A$135)-ROW($A125)),0)</f>
        <v>9</v>
      </c>
      <c r="J125" s="184">
        <f ca="1">MATCH(OFFSET($D125,0,$C125)+1,OFFSET($D125,1,$C125,ROW($A$135)-ROW($A125)),0)</f>
        <v>3</v>
      </c>
      <c r="K125" s="185">
        <f>ROUND(INDEX(PO!T$12:T$167,MATCH($A125,PO!$V$12:$V$167,0)),2)+10^-12</f>
        <v>1E-12</v>
      </c>
      <c r="L125" s="373"/>
      <c r="M125" s="375"/>
      <c r="N125" s="377"/>
      <c r="O125" s="204" t="s">
        <v>20</v>
      </c>
      <c r="P125" s="199">
        <f aca="true" ca="1" t="shared" si="101" ref="P125:W125">IF($B125,ROUND(P124*$N123,2),ROUND(SUMIF(OFFSET($B125,1,0,$D125),TRUE,OFFSET(P125,1,0,$D125))/SUMIF(OFFSET($B125,1,0,$D125),TRUE,OFFSET($K125,1,0,$D125))*$N123,2))</f>
        <v>0</v>
      </c>
      <c r="Q125" s="169">
        <f ca="1" t="shared" si="101"/>
        <v>0</v>
      </c>
      <c r="R125" s="169">
        <f ca="1" t="shared" si="101"/>
        <v>0</v>
      </c>
      <c r="S125" s="169">
        <f ca="1" t="shared" si="101"/>
        <v>0</v>
      </c>
      <c r="T125" s="169">
        <f ca="1" t="shared" si="101"/>
        <v>0</v>
      </c>
      <c r="U125" s="169">
        <f ca="1" t="shared" si="101"/>
        <v>0</v>
      </c>
      <c r="V125" s="169">
        <f ca="1" t="shared" si="101"/>
        <v>0</v>
      </c>
      <c r="W125" s="207">
        <f ca="1" t="shared" si="101"/>
        <v>0</v>
      </c>
      <c r="X125" s="196"/>
      <c r="AC125" s="169">
        <f ca="1">IF($B125,ROUND(AC124*$N123,2),ROUND(SUMIF(OFFSET($B125,1,0,$D125),TRUE,OFFSET(AC125,1,0,$D125))/SUMIF(OFFSET($B125,1,0,$D125),TRUE,OFFSET($K125,1,0,$D125))*$N123,2))</f>
        <v>0</v>
      </c>
    </row>
    <row r="126" spans="1:29" ht="14.25" customHeight="1">
      <c r="A126" s="82"/>
      <c r="B126" s="82"/>
      <c r="C126" s="82"/>
      <c r="D126" s="82"/>
      <c r="E126" s="82"/>
      <c r="F126" s="82"/>
      <c r="G126" s="82"/>
      <c r="H126" s="82"/>
      <c r="I126" s="82"/>
      <c r="J126" s="82"/>
      <c r="K126" s="82"/>
      <c r="L126" s="372" t="str">
        <f>INDEX(PO!K$12:K$167,MATCH($A128,PO!$V$12:$V$167,0))</f>
        <v>10.10.</v>
      </c>
      <c r="M126" s="374" t="str">
        <f>INDEX(PO!N$12:N$167,MATCH($A128,PO!$V$12:$V$167,0))</f>
        <v>PINTURA INTERNA-TETO</v>
      </c>
      <c r="N126" s="376">
        <f>IF(ROUND(K128,2)=0,K128,ROUND(K128,2))</f>
        <v>1E-12</v>
      </c>
      <c r="O126" s="220" t="s">
        <v>143</v>
      </c>
      <c r="P126" s="226">
        <f>IF($B128,0,P127-IF(ISNUMBER(O127),O127,0))</f>
        <v>0</v>
      </c>
      <c r="Q126" s="227">
        <f>IF($B128,0,Q127-IF(ISNUMBER(P127),P127,0))</f>
        <v>0</v>
      </c>
      <c r="R126" s="227">
        <v>1</v>
      </c>
      <c r="S126" s="227">
        <f>IF($B128,0,S127-IF(ISNUMBER(R127),R127,0))</f>
        <v>0</v>
      </c>
      <c r="T126" s="227">
        <f>IF($B128,0,T127-IF(ISNUMBER(S127),S127,0))</f>
        <v>0</v>
      </c>
      <c r="U126" s="227">
        <f>IF($B128,0,U127-IF(ISNUMBER(T127),T127,0))</f>
        <v>0</v>
      </c>
      <c r="V126" s="227">
        <f>IF($B128,0,V127-IF(ISNUMBER(U127),U127,0))</f>
        <v>0</v>
      </c>
      <c r="W126" s="228">
        <f>IF($B128,0,W127-IF(ISNUMBER(V127),V127,0))</f>
        <v>0</v>
      </c>
      <c r="X126" s="196"/>
      <c r="AC126" s="221">
        <f>IF($B128,0,AC127-IF(ISNUMBER(AB127),AB127,0))</f>
        <v>0</v>
      </c>
    </row>
    <row r="127" spans="1:29" ht="14.25">
      <c r="A127" s="184"/>
      <c r="B127" s="184"/>
      <c r="C127" s="184"/>
      <c r="D127" s="184"/>
      <c r="E127" s="184"/>
      <c r="F127" s="184"/>
      <c r="G127" s="184"/>
      <c r="H127" s="184"/>
      <c r="I127" s="184"/>
      <c r="J127" s="184"/>
      <c r="K127" s="184"/>
      <c r="L127" s="373"/>
      <c r="M127" s="375"/>
      <c r="N127" s="377"/>
      <c r="O127" s="170" t="s">
        <v>145</v>
      </c>
      <c r="P127" s="198">
        <f aca="true" t="shared" si="102" ref="P127:W127">MIN(IF($B128,P126+IF(ISNUMBER(O127),O127,0),P128/$N126),1)</f>
        <v>0</v>
      </c>
      <c r="Q127" s="168">
        <f t="shared" si="102"/>
        <v>0</v>
      </c>
      <c r="R127" s="168">
        <f t="shared" si="102"/>
        <v>1</v>
      </c>
      <c r="S127" s="168">
        <f t="shared" si="102"/>
        <v>1</v>
      </c>
      <c r="T127" s="168">
        <f t="shared" si="102"/>
        <v>1</v>
      </c>
      <c r="U127" s="168">
        <f t="shared" si="102"/>
        <v>1</v>
      </c>
      <c r="V127" s="168">
        <f t="shared" si="102"/>
        <v>1</v>
      </c>
      <c r="W127" s="168">
        <f t="shared" si="102"/>
        <v>1</v>
      </c>
      <c r="X127" s="196"/>
      <c r="AC127" s="168">
        <f>MIN(IF($B128,AC126+IF(ISNUMBER(AB127),AB127,0),AC128/$N126),1)</f>
        <v>0</v>
      </c>
    </row>
    <row r="128" spans="1:29" ht="14.25">
      <c r="A128" s="184">
        <f ca="1">OFFSET(A128,-CFF.NumLinha,0)+1</f>
        <v>37</v>
      </c>
      <c r="B128" s="184" t="b">
        <f ca="1">$C128&gt;=OFFSET($C128,CFF.NumLinha,0)</f>
        <v>1</v>
      </c>
      <c r="C128" s="184">
        <f>INDEX(PO!A$12:A$167,MATCH($A128,PO!$V$12:$V$167,0))</f>
        <v>2</v>
      </c>
      <c r="D128" s="184">
        <f>IF(ISERROR(J128),I128,SMALL(I128:J128,1))-1</f>
        <v>2</v>
      </c>
      <c r="E128" s="184">
        <f ca="1">IF($C128=1,OFFSET(E128,-CFF.NumLinha,0)+1,OFFSET(E128,-CFF.NumLinha,0))</f>
        <v>10</v>
      </c>
      <c r="F128" s="184">
        <f ca="1">IF($C128=1,0,IF($C128=2,OFFSET(F128,-CFF.NumLinha,0)+1,OFFSET(F128,-CFF.NumLinha,0)))</f>
        <v>10</v>
      </c>
      <c r="G128" s="184">
        <f ca="1">IF(AND($C128&lt;=2,$C128&lt;&gt;0),0,IF($C128=3,OFFSET(G128,-CFF.NumLinha,0)+1,OFFSET(G128,-CFF.NumLinha,0)))</f>
        <v>0</v>
      </c>
      <c r="H128" s="184">
        <f ca="1">IF(AND($C128&lt;=3,$C128&lt;&gt;0),0,IF($C128=4,OFFSET(H128,-CFF.NumLinha,0)+1,OFFSET(H128,-CFF.NumLinha,0)))</f>
        <v>0</v>
      </c>
      <c r="I128" s="184">
        <f ca="1">MATCH(0,OFFSET($D128,1,$C128,ROW($A$135)-ROW($A128)),0)</f>
        <v>6</v>
      </c>
      <c r="J128" s="184">
        <f ca="1">MATCH(OFFSET($D128,0,$C128)+1,OFFSET($D128,1,$C128,ROW($A$135)-ROW($A128)),0)</f>
        <v>3</v>
      </c>
      <c r="K128" s="185">
        <f>ROUND(INDEX(PO!T$12:T$167,MATCH($A128,PO!$V$12:$V$167,0)),2)+10^-12</f>
        <v>1E-12</v>
      </c>
      <c r="L128" s="373"/>
      <c r="M128" s="375"/>
      <c r="N128" s="377"/>
      <c r="O128" s="204" t="s">
        <v>20</v>
      </c>
      <c r="P128" s="199">
        <f aca="true" ca="1" t="shared" si="103" ref="P128:W128">IF($B128,ROUND(P127*$N126,2),ROUND(SUMIF(OFFSET($B128,1,0,$D128),TRUE,OFFSET(P128,1,0,$D128))/SUMIF(OFFSET($B128,1,0,$D128),TRUE,OFFSET($K128,1,0,$D128))*$N126,2))</f>
        <v>0</v>
      </c>
      <c r="Q128" s="169">
        <f ca="1" t="shared" si="103"/>
        <v>0</v>
      </c>
      <c r="R128" s="169">
        <f ca="1" t="shared" si="103"/>
        <v>0</v>
      </c>
      <c r="S128" s="169">
        <f ca="1" t="shared" si="103"/>
        <v>0</v>
      </c>
      <c r="T128" s="169">
        <f ca="1" t="shared" si="103"/>
        <v>0</v>
      </c>
      <c r="U128" s="169">
        <f ca="1" t="shared" si="103"/>
        <v>0</v>
      </c>
      <c r="V128" s="169">
        <f ca="1" t="shared" si="103"/>
        <v>0</v>
      </c>
      <c r="W128" s="207">
        <f ca="1" t="shared" si="103"/>
        <v>0</v>
      </c>
      <c r="X128" s="196"/>
      <c r="AC128" s="169">
        <f ca="1">IF($B128,ROUND(AC127*$N126,2),ROUND(SUMIF(OFFSET($B128,1,0,$D128),TRUE,OFFSET(AC128,1,0,$D128))/SUMIF(OFFSET($B128,1,0,$D128),TRUE,OFFSET($K128,1,0,$D128))*$N126,2))</f>
        <v>0</v>
      </c>
    </row>
    <row r="129" spans="1:29" ht="14.25" customHeight="1">
      <c r="A129" s="82"/>
      <c r="B129" s="82"/>
      <c r="C129" s="82"/>
      <c r="D129" s="82"/>
      <c r="E129" s="82"/>
      <c r="F129" s="82"/>
      <c r="G129" s="82"/>
      <c r="H129" s="82"/>
      <c r="I129" s="82"/>
      <c r="J129" s="82"/>
      <c r="K129" s="82"/>
      <c r="L129" s="372" t="str">
        <f>INDEX(PO!K$12:K$167,MATCH($A131,PO!$V$12:$V$167,0))</f>
        <v>10.11.</v>
      </c>
      <c r="M129" s="374" t="str">
        <f>INDEX(PO!N$12:N$167,MATCH($A131,PO!$V$12:$V$167,0))</f>
        <v>ESQUADRIAS DE ALUMÍNIO</v>
      </c>
      <c r="N129" s="376">
        <f>IF(ROUND(K131,2)=0,K131,ROUND(K131,2))</f>
        <v>1E-12</v>
      </c>
      <c r="O129" s="220" t="s">
        <v>143</v>
      </c>
      <c r="P129" s="226">
        <f>IF($B131,0,P130-IF(ISNUMBER(O130),O130,0))</f>
        <v>0</v>
      </c>
      <c r="Q129" s="227">
        <f>IF($B131,0,Q130-IF(ISNUMBER(P130),P130,0))</f>
        <v>0</v>
      </c>
      <c r="R129" s="227">
        <f>IF($B131,0,R130-IF(ISNUMBER(Q130),Q130,0))</f>
        <v>0</v>
      </c>
      <c r="S129" s="227">
        <v>1</v>
      </c>
      <c r="T129" s="227">
        <f>IF($B131,0,T130-IF(ISNUMBER(S130),S130,0))</f>
        <v>0</v>
      </c>
      <c r="U129" s="227">
        <f>IF($B131,0,U130-IF(ISNUMBER(T130),T130,0))</f>
        <v>0</v>
      </c>
      <c r="V129" s="227">
        <f>IF($B131,0,V130-IF(ISNUMBER(U130),U130,0))</f>
        <v>0</v>
      </c>
      <c r="W129" s="228">
        <f>IF($B131,0,W130-IF(ISNUMBER(V130),V130,0))</f>
        <v>0</v>
      </c>
      <c r="X129" s="196"/>
      <c r="AC129" s="221">
        <f>IF($B131,0,AC130-IF(ISNUMBER(AB130),AB130,0))</f>
        <v>0</v>
      </c>
    </row>
    <row r="130" spans="1:29" ht="14.25">
      <c r="A130" s="184"/>
      <c r="B130" s="184"/>
      <c r="C130" s="184"/>
      <c r="D130" s="184"/>
      <c r="E130" s="184"/>
      <c r="F130" s="184"/>
      <c r="G130" s="184"/>
      <c r="H130" s="184"/>
      <c r="I130" s="184"/>
      <c r="J130" s="184"/>
      <c r="K130" s="184"/>
      <c r="L130" s="373"/>
      <c r="M130" s="375"/>
      <c r="N130" s="377"/>
      <c r="O130" s="170" t="s">
        <v>145</v>
      </c>
      <c r="P130" s="198">
        <f aca="true" t="shared" si="104" ref="P130:W130">MIN(IF($B131,P129+IF(ISNUMBER(O130),O130,0),P131/$N129),1)</f>
        <v>0</v>
      </c>
      <c r="Q130" s="168">
        <f t="shared" si="104"/>
        <v>0</v>
      </c>
      <c r="R130" s="168">
        <f t="shared" si="104"/>
        <v>0</v>
      </c>
      <c r="S130" s="168">
        <f t="shared" si="104"/>
        <v>1</v>
      </c>
      <c r="T130" s="168">
        <f t="shared" si="104"/>
        <v>1</v>
      </c>
      <c r="U130" s="168">
        <f t="shared" si="104"/>
        <v>1</v>
      </c>
      <c r="V130" s="168">
        <f t="shared" si="104"/>
        <v>1</v>
      </c>
      <c r="W130" s="168">
        <f t="shared" si="104"/>
        <v>1</v>
      </c>
      <c r="X130" s="196"/>
      <c r="AC130" s="168">
        <f>MIN(IF($B131,AC129+IF(ISNUMBER(AB130),AB130,0),AC131/$N129),1)</f>
        <v>0</v>
      </c>
    </row>
    <row r="131" spans="1:29" ht="14.25">
      <c r="A131" s="184">
        <f ca="1">OFFSET(A131,-CFF.NumLinha,0)+1</f>
        <v>38</v>
      </c>
      <c r="B131" s="184" t="b">
        <f ca="1">$C131&gt;=OFFSET($C131,CFF.NumLinha,0)</f>
        <v>1</v>
      </c>
      <c r="C131" s="184">
        <f>INDEX(PO!A$12:A$167,MATCH($A131,PO!$V$12:$V$167,0))</f>
        <v>2</v>
      </c>
      <c r="D131" s="184">
        <f>IF(ISERROR(J131),I131,SMALL(I131:J131,1))-1</f>
        <v>2</v>
      </c>
      <c r="E131" s="184">
        <f ca="1">IF($C131=1,OFFSET(E131,-CFF.NumLinha,0)+1,OFFSET(E131,-CFF.NumLinha,0))</f>
        <v>10</v>
      </c>
      <c r="F131" s="184">
        <f ca="1">IF($C131=1,0,IF($C131=2,OFFSET(F131,-CFF.NumLinha,0)+1,OFFSET(F131,-CFF.NumLinha,0)))</f>
        <v>11</v>
      </c>
      <c r="G131" s="184">
        <f ca="1">IF(AND($C131&lt;=2,$C131&lt;&gt;0),0,IF($C131=3,OFFSET(G131,-CFF.NumLinha,0)+1,OFFSET(G131,-CFF.NumLinha,0)))</f>
        <v>0</v>
      </c>
      <c r="H131" s="184">
        <f ca="1">IF(AND($C131&lt;=3,$C131&lt;&gt;0),0,IF($C131=4,OFFSET(H131,-CFF.NumLinha,0)+1,OFFSET(H131,-CFF.NumLinha,0)))</f>
        <v>0</v>
      </c>
      <c r="I131" s="184">
        <f ca="1">MATCH(0,OFFSET($D131,1,$C131,ROW($A$135)-ROW($A131)),0)</f>
        <v>3</v>
      </c>
      <c r="J131" s="184" t="e">
        <f ca="1">MATCH(OFFSET($D131,0,$C131)+1,OFFSET($D131,1,$C131,ROW($A$135)-ROW($A131)),0)</f>
        <v>#N/A</v>
      </c>
      <c r="K131" s="185">
        <f>ROUND(INDEX(PO!T$12:T$167,MATCH($A131,PO!$V$12:$V$167,0)),2)+10^-12</f>
        <v>1E-12</v>
      </c>
      <c r="L131" s="373"/>
      <c r="M131" s="375"/>
      <c r="N131" s="377"/>
      <c r="O131" s="204" t="s">
        <v>20</v>
      </c>
      <c r="P131" s="199">
        <f aca="true" ca="1" t="shared" si="105" ref="P131:W131">IF($B131,ROUND(P130*$N129,2),ROUND(SUMIF(OFFSET($B131,1,0,$D131),TRUE,OFFSET(P131,1,0,$D131))/SUMIF(OFFSET($B131,1,0,$D131),TRUE,OFFSET($K131,1,0,$D131))*$N129,2))</f>
        <v>0</v>
      </c>
      <c r="Q131" s="169">
        <f ca="1" t="shared" si="105"/>
        <v>0</v>
      </c>
      <c r="R131" s="169">
        <f ca="1" t="shared" si="105"/>
        <v>0</v>
      </c>
      <c r="S131" s="169">
        <f ca="1" t="shared" si="105"/>
        <v>0</v>
      </c>
      <c r="T131" s="169">
        <f ca="1" t="shared" si="105"/>
        <v>0</v>
      </c>
      <c r="U131" s="169">
        <f ca="1" t="shared" si="105"/>
        <v>0</v>
      </c>
      <c r="V131" s="169">
        <f ca="1" t="shared" si="105"/>
        <v>0</v>
      </c>
      <c r="W131" s="207">
        <f ca="1" t="shared" si="105"/>
        <v>0</v>
      </c>
      <c r="X131" s="196"/>
      <c r="AC131" s="169">
        <f ca="1">IF($B131,ROUND(AC130*$N129,2),ROUND(SUMIF(OFFSET($B131,1,0,$D131),TRUE,OFFSET(AC131,1,0,$D131))/SUMIF(OFFSET($B131,1,0,$D131),TRUE,OFFSET($K131,1,0,$D131))*$N129,2))</f>
        <v>0</v>
      </c>
    </row>
    <row r="132" spans="1:29" ht="14.25" customHeight="1">
      <c r="A132" s="82"/>
      <c r="B132" s="82"/>
      <c r="C132" s="82"/>
      <c r="D132" s="82"/>
      <c r="E132" s="82"/>
      <c r="F132" s="82"/>
      <c r="G132" s="82"/>
      <c r="H132" s="82"/>
      <c r="I132" s="82"/>
      <c r="J132" s="82"/>
      <c r="K132" s="82"/>
      <c r="L132" s="372" t="str">
        <f>INDEX(PO!K$12:K$167,MATCH($A134,PO!$V$12:$V$167,0))</f>
        <v>11.</v>
      </c>
      <c r="M132" s="374" t="str">
        <f>INDEX(PO!N$12:N$167,MATCH($A134,PO!$V$12:$V$167,0))</f>
        <v>LIMPEZA FINAL DE OBRA</v>
      </c>
      <c r="N132" s="376">
        <f>IF(ROUND(K134,2)=0,K134,ROUND(K134,2))</f>
        <v>1E-12</v>
      </c>
      <c r="O132" s="220" t="s">
        <v>143</v>
      </c>
      <c r="P132" s="226">
        <f>IF($B134,0,P133-IF(ISNUMBER(O133),O133,0))</f>
        <v>0</v>
      </c>
      <c r="Q132" s="227">
        <f>IF($B134,0,Q133-IF(ISNUMBER(P133),P133,0))</f>
        <v>0</v>
      </c>
      <c r="R132" s="227">
        <f>IF($B134,0,R133-IF(ISNUMBER(Q133),Q133,0))</f>
        <v>0</v>
      </c>
      <c r="S132" s="227">
        <f>IF($B134,0,S133-IF(ISNUMBER(R133),R133,0))</f>
        <v>0</v>
      </c>
      <c r="T132" s="227">
        <v>1</v>
      </c>
      <c r="U132" s="227">
        <f>IF($B134,0,U133-IF(ISNUMBER(T133),T133,0))</f>
        <v>0</v>
      </c>
      <c r="V132" s="227">
        <f>IF($B134,0,V133-IF(ISNUMBER(U133),U133,0))</f>
        <v>0</v>
      </c>
      <c r="W132" s="228">
        <f>IF($B134,0,W133-IF(ISNUMBER(V133),V133,0))</f>
        <v>0</v>
      </c>
      <c r="X132" s="196"/>
      <c r="AC132" s="221">
        <f>IF($B134,0,AC133-IF(ISNUMBER(AB133),AB133,0))</f>
        <v>0</v>
      </c>
    </row>
    <row r="133" spans="1:29" ht="14.25">
      <c r="A133" s="184"/>
      <c r="B133" s="184"/>
      <c r="C133" s="184"/>
      <c r="D133" s="184"/>
      <c r="E133" s="184"/>
      <c r="F133" s="184"/>
      <c r="G133" s="184"/>
      <c r="H133" s="184"/>
      <c r="I133" s="184"/>
      <c r="J133" s="184"/>
      <c r="K133" s="184"/>
      <c r="L133" s="373"/>
      <c r="M133" s="375"/>
      <c r="N133" s="377"/>
      <c r="O133" s="170" t="s">
        <v>145</v>
      </c>
      <c r="P133" s="198">
        <f aca="true" t="shared" si="106" ref="P133:W133">MIN(IF($B134,P132+IF(ISNUMBER(O133),O133,0),P134/$N132),1)</f>
        <v>0</v>
      </c>
      <c r="Q133" s="168">
        <f t="shared" si="106"/>
        <v>0</v>
      </c>
      <c r="R133" s="168">
        <f t="shared" si="106"/>
        <v>0</v>
      </c>
      <c r="S133" s="168">
        <f t="shared" si="106"/>
        <v>0</v>
      </c>
      <c r="T133" s="168">
        <f t="shared" si="106"/>
        <v>1</v>
      </c>
      <c r="U133" s="168">
        <f t="shared" si="106"/>
        <v>1</v>
      </c>
      <c r="V133" s="168">
        <f t="shared" si="106"/>
        <v>1</v>
      </c>
      <c r="W133" s="168">
        <f t="shared" si="106"/>
        <v>1</v>
      </c>
      <c r="X133" s="196"/>
      <c r="AC133" s="168">
        <f>MIN(IF($B134,AC132+IF(ISNUMBER(AB133),AB133,0),AC134/$N132),1)</f>
        <v>0</v>
      </c>
    </row>
    <row r="134" spans="1:29" ht="14.25">
      <c r="A134" s="184">
        <f ca="1">OFFSET(A134,-CFF.NumLinha,0)+1</f>
        <v>39</v>
      </c>
      <c r="B134" s="184" t="b">
        <f ca="1">$C134&gt;=OFFSET($C134,CFF.NumLinha,0)</f>
        <v>1</v>
      </c>
      <c r="C134" s="184">
        <f>INDEX(PO!A$12:A$167,MATCH($A134,PO!$V$12:$V$167,0))</f>
        <v>1</v>
      </c>
      <c r="D134" s="184">
        <f>IF(ISERROR(J134),I134,SMALL(I134:J134,1))-1</f>
        <v>0</v>
      </c>
      <c r="E134" s="184">
        <f ca="1">IF($C134=1,OFFSET(E134,-CFF.NumLinha,0)+1,OFFSET(E134,-CFF.NumLinha,0))</f>
        <v>11</v>
      </c>
      <c r="F134" s="184">
        <f ca="1">IF($C134=1,0,IF($C134=2,OFFSET(F134,-CFF.NumLinha,0)+1,OFFSET(F134,-CFF.NumLinha,0)))</f>
        <v>0</v>
      </c>
      <c r="G134" s="184">
        <f ca="1">IF(AND($C134&lt;=2,$C134&lt;&gt;0),0,IF($C134=3,OFFSET(G134,-CFF.NumLinha,0)+1,OFFSET(G134,-CFF.NumLinha,0)))</f>
        <v>0</v>
      </c>
      <c r="H134" s="184">
        <f ca="1">IF(AND($C134&lt;=3,$C134&lt;&gt;0),0,IF($C134=4,OFFSET(H134,-CFF.NumLinha,0)+1,OFFSET(H134,-CFF.NumLinha,0)))</f>
        <v>0</v>
      </c>
      <c r="I134" s="184">
        <f ca="1">MATCH(0,OFFSET($D134,1,$C134,ROW($A$135)-ROW($A134)),0)</f>
        <v>1</v>
      </c>
      <c r="J134" s="184" t="e">
        <f ca="1">MATCH(OFFSET($D134,0,$C134)+1,OFFSET($D134,1,$C134,ROW($A$135)-ROW($A134)),0)</f>
        <v>#N/A</v>
      </c>
      <c r="K134" s="185">
        <f>ROUND(INDEX(PO!T$12:T$167,MATCH($A134,PO!$V$12:$V$167,0)),2)+10^-12</f>
        <v>1E-12</v>
      </c>
      <c r="L134" s="373"/>
      <c r="M134" s="375"/>
      <c r="N134" s="377"/>
      <c r="O134" s="204" t="s">
        <v>20</v>
      </c>
      <c r="P134" s="199">
        <f aca="true" ca="1" t="shared" si="107" ref="P134:W134">IF($B134,ROUND(P133*$N132,2),ROUND(SUMIF(OFFSET($B134,1,0,$D134),TRUE,OFFSET(P134,1,0,$D134))/SUMIF(OFFSET($B134,1,0,$D134),TRUE,OFFSET($K134,1,0,$D134))*$N132,2))</f>
        <v>0</v>
      </c>
      <c r="Q134" s="169">
        <f ca="1" t="shared" si="107"/>
        <v>0</v>
      </c>
      <c r="R134" s="169">
        <f ca="1" t="shared" si="107"/>
        <v>0</v>
      </c>
      <c r="S134" s="169">
        <f ca="1" t="shared" si="107"/>
        <v>0</v>
      </c>
      <c r="T134" s="169">
        <f ca="1" t="shared" si="107"/>
        <v>0</v>
      </c>
      <c r="U134" s="169">
        <f ca="1" t="shared" si="107"/>
        <v>0</v>
      </c>
      <c r="V134" s="169">
        <f ca="1" t="shared" si="107"/>
        <v>0</v>
      </c>
      <c r="W134" s="207">
        <f ca="1" t="shared" si="107"/>
        <v>0</v>
      </c>
      <c r="X134" s="196"/>
      <c r="AC134" s="169">
        <f ca="1">IF($B134,ROUND(AC133*$N132,2),ROUND(SUMIF(OFFSET($B134,1,0,$D134),TRUE,OFFSET(AC134,1,0,$D134))/SUMIF(OFFSET($B134,1,0,$D134),TRUE,OFFSET($K134,1,0,$D134))*$N132,2))</f>
        <v>0</v>
      </c>
    </row>
    <row r="135" spans="1:29" s="45" customFormat="1" ht="12.75" customHeight="1">
      <c r="A135" s="1"/>
      <c r="B135" s="1"/>
      <c r="C135" s="184">
        <v>-1</v>
      </c>
      <c r="D135" s="184"/>
      <c r="E135" s="184">
        <v>0</v>
      </c>
      <c r="F135" s="184">
        <v>0</v>
      </c>
      <c r="G135" s="184">
        <v>0</v>
      </c>
      <c r="H135" s="184">
        <v>0</v>
      </c>
      <c r="I135" s="1"/>
      <c r="J135" s="1"/>
      <c r="K135" s="1"/>
      <c r="L135" s="154"/>
      <c r="M135" s="154"/>
      <c r="N135" s="155"/>
      <c r="O135" s="154"/>
      <c r="P135" s="154"/>
      <c r="Q135" s="155"/>
      <c r="R135" s="154"/>
      <c r="S135" s="154"/>
      <c r="T135" s="154"/>
      <c r="U135" s="154"/>
      <c r="V135" s="154"/>
      <c r="W135" s="154"/>
      <c r="X135" s="186"/>
      <c r="AC135" s="154"/>
    </row>
    <row r="136" spans="1:29" ht="12" customHeight="1">
      <c r="A136" s="1"/>
      <c r="B136" s="1"/>
      <c r="C136" s="1"/>
      <c r="D136" s="1"/>
      <c r="E136" s="1"/>
      <c r="F136" s="1"/>
      <c r="G136" s="1"/>
      <c r="H136" s="1"/>
      <c r="I136" s="1"/>
      <c r="J136" s="1"/>
      <c r="K136" s="1"/>
      <c r="L136" s="187"/>
      <c r="M136" s="187"/>
      <c r="N136" s="187"/>
      <c r="O136" s="187"/>
      <c r="P136" s="187"/>
      <c r="Q136" s="187"/>
      <c r="R136" s="187"/>
      <c r="S136" s="187"/>
      <c r="T136" s="187"/>
      <c r="U136" s="187"/>
      <c r="V136" s="187"/>
      <c r="W136" s="187"/>
      <c r="X136" s="188"/>
      <c r="AC136" s="187"/>
    </row>
    <row r="137" spans="1:29" ht="12.75">
      <c r="A137" s="1"/>
      <c r="B137" s="1"/>
      <c r="C137" s="1"/>
      <c r="D137" s="1"/>
      <c r="E137" s="1"/>
      <c r="F137" s="1"/>
      <c r="G137" s="1"/>
      <c r="H137" s="1"/>
      <c r="I137" s="1"/>
      <c r="J137" s="1"/>
      <c r="K137" s="1"/>
      <c r="L137" s="382">
        <f>DADOS!I32</f>
        <v>0</v>
      </c>
      <c r="M137" s="382"/>
      <c r="N137" s="382"/>
      <c r="O137" s="187"/>
      <c r="P137" s="189"/>
      <c r="Q137" s="379"/>
      <c r="R137" s="379"/>
      <c r="S137" s="379"/>
      <c r="T137" s="187"/>
      <c r="U137" s="187"/>
      <c r="V137" s="187"/>
      <c r="W137" s="187"/>
      <c r="X137" s="188"/>
      <c r="AC137" s="187"/>
    </row>
    <row r="138" spans="1:29" ht="12.75">
      <c r="A138" s="1"/>
      <c r="B138" s="1"/>
      <c r="C138" s="1"/>
      <c r="D138" s="1"/>
      <c r="E138" s="1"/>
      <c r="F138" s="1"/>
      <c r="G138" s="1"/>
      <c r="H138" s="1"/>
      <c r="I138" s="1"/>
      <c r="J138" s="1"/>
      <c r="K138" s="1"/>
      <c r="L138" s="190" t="s">
        <v>120</v>
      </c>
      <c r="M138" s="381"/>
      <c r="N138" s="381"/>
      <c r="O138" s="187"/>
      <c r="P138" s="189"/>
      <c r="Q138" s="379"/>
      <c r="R138" s="379"/>
      <c r="S138" s="379"/>
      <c r="T138" s="187"/>
      <c r="U138" s="187"/>
      <c r="V138" s="187"/>
      <c r="W138" s="187"/>
      <c r="X138" s="188"/>
      <c r="AC138" s="187"/>
    </row>
    <row r="139" spans="1:29" ht="12.75">
      <c r="A139" s="1"/>
      <c r="B139" s="1"/>
      <c r="C139" s="1"/>
      <c r="D139" s="1"/>
      <c r="E139" s="1"/>
      <c r="F139" s="1"/>
      <c r="G139" s="1"/>
      <c r="H139" s="1"/>
      <c r="I139" s="1"/>
      <c r="J139" s="1"/>
      <c r="K139" s="1"/>
      <c r="L139" s="189"/>
      <c r="M139" s="380"/>
      <c r="N139" s="381"/>
      <c r="O139" s="187"/>
      <c r="P139" s="189"/>
      <c r="Q139" s="379"/>
      <c r="R139" s="379"/>
      <c r="S139" s="379"/>
      <c r="T139" s="187"/>
      <c r="U139" s="187"/>
      <c r="V139" s="187"/>
      <c r="W139" s="187"/>
      <c r="X139" s="188"/>
      <c r="AC139" s="187"/>
    </row>
    <row r="140" spans="1:29" ht="12.75">
      <c r="A140" s="1"/>
      <c r="B140" s="1"/>
      <c r="C140" s="1"/>
      <c r="D140" s="1"/>
      <c r="E140" s="1"/>
      <c r="F140" s="1"/>
      <c r="G140" s="1"/>
      <c r="H140" s="1"/>
      <c r="I140" s="1"/>
      <c r="J140" s="1"/>
      <c r="K140" s="1"/>
      <c r="L140" s="383" t="str">
        <f>PO!K181</f>
        <v>29 de janeiro de 2024</v>
      </c>
      <c r="M140" s="383"/>
      <c r="N140" s="383"/>
      <c r="O140" s="187"/>
      <c r="P140" s="187"/>
      <c r="Q140" s="187"/>
      <c r="R140" s="187"/>
      <c r="S140" s="187"/>
      <c r="T140" s="187"/>
      <c r="U140" s="187"/>
      <c r="V140" s="187"/>
      <c r="W140" s="187"/>
      <c r="X140" s="191"/>
      <c r="AC140" s="187"/>
    </row>
    <row r="141" spans="1:29" ht="12.75">
      <c r="A141" s="1"/>
      <c r="B141" s="1"/>
      <c r="C141" s="1"/>
      <c r="D141" s="1"/>
      <c r="E141" s="1"/>
      <c r="F141" s="1"/>
      <c r="G141" s="1"/>
      <c r="H141" s="1"/>
      <c r="I141" s="1"/>
      <c r="J141" s="1"/>
      <c r="K141" s="1"/>
      <c r="L141" s="192" t="s">
        <v>121</v>
      </c>
      <c r="M141" s="193"/>
      <c r="N141" s="193"/>
      <c r="O141" s="187"/>
      <c r="P141" s="187"/>
      <c r="Q141" s="187"/>
      <c r="R141" s="187"/>
      <c r="S141" s="187"/>
      <c r="T141" s="187"/>
      <c r="U141" s="187"/>
      <c r="V141" s="187"/>
      <c r="W141" s="187"/>
      <c r="X141" s="191"/>
      <c r="AC141" s="187"/>
    </row>
    <row r="142" spans="1:29" ht="12.75">
      <c r="A142" s="1"/>
      <c r="B142" s="1"/>
      <c r="C142" s="1"/>
      <c r="D142" s="1"/>
      <c r="E142" s="1"/>
      <c r="F142" s="1"/>
      <c r="G142" s="1"/>
      <c r="H142" s="1"/>
      <c r="I142" s="1"/>
      <c r="J142" s="1"/>
      <c r="K142" s="1"/>
      <c r="L142" s="187"/>
      <c r="M142" s="187"/>
      <c r="N142" s="187"/>
      <c r="O142" s="187"/>
      <c r="P142" s="187"/>
      <c r="Q142" s="187"/>
      <c r="R142" s="187"/>
      <c r="S142" s="187"/>
      <c r="T142" s="187"/>
      <c r="U142" s="187"/>
      <c r="V142" s="187"/>
      <c r="W142" s="187"/>
      <c r="X142" s="191"/>
      <c r="AC142" s="187"/>
    </row>
    <row r="143" spans="1:29" ht="12.75">
      <c r="A143" s="1"/>
      <c r="B143" s="1"/>
      <c r="C143" s="1"/>
      <c r="D143" s="1"/>
      <c r="E143" s="1"/>
      <c r="F143" s="1"/>
      <c r="G143" s="1"/>
      <c r="H143" s="1"/>
      <c r="I143" s="1"/>
      <c r="J143" s="1"/>
      <c r="K143" s="1"/>
      <c r="L143" s="187"/>
      <c r="M143" s="187"/>
      <c r="N143" s="194"/>
      <c r="O143" s="187"/>
      <c r="P143" s="187"/>
      <c r="Q143" s="187"/>
      <c r="R143" s="187"/>
      <c r="S143" s="187"/>
      <c r="T143" s="187"/>
      <c r="U143" s="187"/>
      <c r="V143" s="187"/>
      <c r="W143" s="187"/>
      <c r="X143" s="188"/>
      <c r="AC143" s="187"/>
    </row>
    <row r="144" spans="1:29" ht="12.75">
      <c r="A144" s="1"/>
      <c r="B144" s="1"/>
      <c r="C144" s="1"/>
      <c r="D144" s="1"/>
      <c r="E144" s="1"/>
      <c r="F144" s="1"/>
      <c r="G144" s="1"/>
      <c r="H144" s="1"/>
      <c r="I144" s="1"/>
      <c r="J144" s="1"/>
      <c r="K144" s="1"/>
      <c r="L144" s="187"/>
      <c r="M144" s="187"/>
      <c r="N144" s="194"/>
      <c r="O144" s="187"/>
      <c r="P144" s="187"/>
      <c r="Q144" s="187"/>
      <c r="R144" s="187"/>
      <c r="S144" s="187"/>
      <c r="T144" s="187"/>
      <c r="U144" s="187"/>
      <c r="V144" s="187"/>
      <c r="W144" s="187"/>
      <c r="X144" s="188"/>
      <c r="AC144" s="187"/>
    </row>
    <row r="145" spans="1:29" ht="12.75">
      <c r="A145" s="1"/>
      <c r="B145" s="1"/>
      <c r="C145" s="1"/>
      <c r="D145" s="1"/>
      <c r="E145" s="1"/>
      <c r="F145" s="1"/>
      <c r="G145" s="1"/>
      <c r="H145" s="1"/>
      <c r="I145" s="1"/>
      <c r="J145" s="1"/>
      <c r="K145" s="1"/>
      <c r="L145" s="82"/>
      <c r="M145" s="82"/>
      <c r="N145" s="7"/>
      <c r="O145" s="82"/>
      <c r="P145" s="82"/>
      <c r="Q145" s="82"/>
      <c r="R145" s="82"/>
      <c r="S145" s="82"/>
      <c r="T145" s="82"/>
      <c r="U145" s="82"/>
      <c r="V145" s="82"/>
      <c r="W145" s="187"/>
      <c r="X145" s="188"/>
      <c r="AC145" s="82"/>
    </row>
  </sheetData>
  <sheetProtection password="C95B" sheet="1" objects="1" scenarios="1"/>
  <mergeCells count="130">
    <mergeCell ref="L140:N140"/>
    <mergeCell ref="L11:L13"/>
    <mergeCell ref="M11:M13"/>
    <mergeCell ref="L14:M17"/>
    <mergeCell ref="N14:N17"/>
    <mergeCell ref="L18:L20"/>
    <mergeCell ref="L21:L23"/>
    <mergeCell ref="M21:M23"/>
    <mergeCell ref="N21:N23"/>
    <mergeCell ref="L24:L26"/>
    <mergeCell ref="L8:M8"/>
    <mergeCell ref="N11:N13"/>
    <mergeCell ref="M18:M20"/>
    <mergeCell ref="N18:N20"/>
    <mergeCell ref="Q139:S139"/>
    <mergeCell ref="M139:N139"/>
    <mergeCell ref="Q138:S138"/>
    <mergeCell ref="Q137:S137"/>
    <mergeCell ref="L137:N137"/>
    <mergeCell ref="M138:N138"/>
    <mergeCell ref="M24:M26"/>
    <mergeCell ref="N24:N26"/>
    <mergeCell ref="L27:L29"/>
    <mergeCell ref="M27:M29"/>
    <mergeCell ref="N27:N29"/>
    <mergeCell ref="L30:L32"/>
    <mergeCell ref="M30:M32"/>
    <mergeCell ref="N30:N32"/>
    <mergeCell ref="L33:L35"/>
    <mergeCell ref="M33:M35"/>
    <mergeCell ref="N33:N35"/>
    <mergeCell ref="L36:L38"/>
    <mergeCell ref="M36:M38"/>
    <mergeCell ref="N36:N38"/>
    <mergeCell ref="L39:L41"/>
    <mergeCell ref="M39:M41"/>
    <mergeCell ref="N39:N41"/>
    <mergeCell ref="L42:L44"/>
    <mergeCell ref="M42:M44"/>
    <mergeCell ref="N42:N44"/>
    <mergeCell ref="L45:L47"/>
    <mergeCell ref="M45:M47"/>
    <mergeCell ref="N45:N47"/>
    <mergeCell ref="L48:L50"/>
    <mergeCell ref="M48:M50"/>
    <mergeCell ref="N48:N50"/>
    <mergeCell ref="L51:L53"/>
    <mergeCell ref="M51:M53"/>
    <mergeCell ref="N51:N53"/>
    <mergeCell ref="L54:L56"/>
    <mergeCell ref="M54:M56"/>
    <mergeCell ref="N54:N56"/>
    <mergeCell ref="L57:L59"/>
    <mergeCell ref="M57:M59"/>
    <mergeCell ref="N57:N59"/>
    <mergeCell ref="L60:L62"/>
    <mergeCell ref="M60:M62"/>
    <mergeCell ref="N60:N62"/>
    <mergeCell ref="L63:L65"/>
    <mergeCell ref="M63:M65"/>
    <mergeCell ref="N63:N65"/>
    <mergeCell ref="L66:L68"/>
    <mergeCell ref="M66:M68"/>
    <mergeCell ref="N66:N68"/>
    <mergeCell ref="L69:L71"/>
    <mergeCell ref="M69:M71"/>
    <mergeCell ref="N69:N71"/>
    <mergeCell ref="L72:L74"/>
    <mergeCell ref="M72:M74"/>
    <mergeCell ref="N72:N74"/>
    <mergeCell ref="L75:L77"/>
    <mergeCell ref="M75:M77"/>
    <mergeCell ref="N75:N77"/>
    <mergeCell ref="L78:L80"/>
    <mergeCell ref="M78:M80"/>
    <mergeCell ref="N78:N80"/>
    <mergeCell ref="L81:L83"/>
    <mergeCell ref="M81:M83"/>
    <mergeCell ref="N81:N83"/>
    <mergeCell ref="L84:L86"/>
    <mergeCell ref="M84:M86"/>
    <mergeCell ref="N84:N86"/>
    <mergeCell ref="L87:L89"/>
    <mergeCell ref="M87:M89"/>
    <mergeCell ref="N87:N89"/>
    <mergeCell ref="L90:L92"/>
    <mergeCell ref="M90:M92"/>
    <mergeCell ref="N90:N92"/>
    <mergeCell ref="L93:L95"/>
    <mergeCell ref="M93:M95"/>
    <mergeCell ref="N93:N95"/>
    <mergeCell ref="L96:L98"/>
    <mergeCell ref="M96:M98"/>
    <mergeCell ref="N96:N98"/>
    <mergeCell ref="L129:L131"/>
    <mergeCell ref="M129:M131"/>
    <mergeCell ref="N129:N131"/>
    <mergeCell ref="L132:L134"/>
    <mergeCell ref="M132:M134"/>
    <mergeCell ref="N132:N134"/>
    <mergeCell ref="L123:L125"/>
    <mergeCell ref="M123:M125"/>
    <mergeCell ref="N123:N125"/>
    <mergeCell ref="L126:L128"/>
    <mergeCell ref="M126:M128"/>
    <mergeCell ref="N126:N128"/>
    <mergeCell ref="L117:L119"/>
    <mergeCell ref="M117:M119"/>
    <mergeCell ref="N117:N119"/>
    <mergeCell ref="L120:L122"/>
    <mergeCell ref="M120:M122"/>
    <mergeCell ref="N120:N122"/>
    <mergeCell ref="L111:L113"/>
    <mergeCell ref="M111:M113"/>
    <mergeCell ref="N111:N113"/>
    <mergeCell ref="L114:L116"/>
    <mergeCell ref="M114:M116"/>
    <mergeCell ref="N114:N116"/>
    <mergeCell ref="L105:L107"/>
    <mergeCell ref="M105:M107"/>
    <mergeCell ref="N105:N107"/>
    <mergeCell ref="L108:L110"/>
    <mergeCell ref="M108:M110"/>
    <mergeCell ref="N108:N110"/>
    <mergeCell ref="L99:L101"/>
    <mergeCell ref="M99:M101"/>
    <mergeCell ref="N99:N101"/>
    <mergeCell ref="L102:L104"/>
    <mergeCell ref="M102:M104"/>
    <mergeCell ref="N102:N104"/>
  </mergeCells>
  <conditionalFormatting sqref="L11:N11 L12:M13 L18:N18">
    <cfRule type="expression" priority="1035" dxfId="656" stopIfTrue="1">
      <formula>$C13=1</formula>
    </cfRule>
  </conditionalFormatting>
  <conditionalFormatting sqref="O11 O18">
    <cfRule type="expression" priority="1107" dxfId="1" stopIfTrue="1">
      <formula>$B13=FALSE</formula>
    </cfRule>
    <cfRule type="expression" priority="1108" dxfId="660" stopIfTrue="1">
      <formula>$C13=1</formula>
    </cfRule>
  </conditionalFormatting>
  <conditionalFormatting sqref="P12:W12">
    <cfRule type="expression" priority="1097" dxfId="6" stopIfTrue="1">
      <formula>AND(ISNUMBER(O13),O13&gt;=$N11)</formula>
    </cfRule>
    <cfRule type="cellIs" priority="1098" dxfId="3" operator="notBetween" stopIfTrue="1">
      <formula>0</formula>
      <formula>1</formula>
    </cfRule>
  </conditionalFormatting>
  <conditionalFormatting sqref="P13:W13">
    <cfRule type="expression" priority="1099" dxfId="4" stopIfTrue="1">
      <formula>AND(ISNUMBER(O13),O13&gt;=$N11)</formula>
    </cfRule>
    <cfRule type="cellIs" priority="1100" dxfId="3" operator="notBetween" stopIfTrue="1">
      <formula>0</formula>
      <formula>$N11</formula>
    </cfRule>
  </conditionalFormatting>
  <conditionalFormatting sqref="P14:W14">
    <cfRule type="expression" priority="1101" dxfId="4" stopIfTrue="1">
      <formula>AND(ISNUMBER(O17),O17&gt;=$N14)</formula>
    </cfRule>
  </conditionalFormatting>
  <conditionalFormatting sqref="P15:W15">
    <cfRule type="expression" priority="1102" dxfId="4" stopIfTrue="1">
      <formula>AND(ISNUMBER(O17),O17&gt;=$N14)</formula>
    </cfRule>
  </conditionalFormatting>
  <conditionalFormatting sqref="P16:W16">
    <cfRule type="expression" priority="1103" dxfId="4" stopIfTrue="1">
      <formula>AND(ISNUMBER(O17),O17&gt;=$N14)</formula>
    </cfRule>
    <cfRule type="cellIs" priority="1104" dxfId="3" operator="notBetween" stopIfTrue="1">
      <formula>0</formula>
      <formula>1</formula>
    </cfRule>
  </conditionalFormatting>
  <conditionalFormatting sqref="P17:W17">
    <cfRule type="expression" priority="1105" dxfId="4" stopIfTrue="1">
      <formula>AND(ISNUMBER(O17),O17&gt;=$N14)</formula>
    </cfRule>
    <cfRule type="cellIs" priority="1106" dxfId="3" operator="notBetween" stopIfTrue="1">
      <formula>0</formula>
      <formula>$N14</formula>
    </cfRule>
  </conditionalFormatting>
  <conditionalFormatting sqref="L8">
    <cfRule type="cellIs" priority="1092" dxfId="3" operator="notEqual" stopIfTrue="1">
      <formula>""</formula>
    </cfRule>
  </conditionalFormatting>
  <conditionalFormatting sqref="N9">
    <cfRule type="expression" priority="1091" dxfId="68" stopIfTrue="1">
      <formula>TipoOrçamento&lt;&gt;"REPROGRAMADOAC"</formula>
    </cfRule>
  </conditionalFormatting>
  <conditionalFormatting sqref="L19:M20">
    <cfRule type="expression" priority="1926" dxfId="656" stopIfTrue="1">
      <formula>CFF!#REF!=1</formula>
    </cfRule>
  </conditionalFormatting>
  <conditionalFormatting sqref="P11:W11">
    <cfRule type="expression" priority="246" dxfId="2" stopIfTrue="1">
      <formula>AND(ISNUMBER(O13),O13&gt;=$N11)</formula>
    </cfRule>
    <cfRule type="expression" priority="247" dxfId="1" stopIfTrue="1">
      <formula>$B13=FALSE</formula>
    </cfRule>
    <cfRule type="expression" priority="248" dxfId="660" stopIfTrue="1">
      <formula>$C13=1</formula>
    </cfRule>
  </conditionalFormatting>
  <conditionalFormatting sqref="P19:W19">
    <cfRule type="expression" priority="197" dxfId="6" stopIfTrue="1">
      <formula>AND(ISNUMBER(O20),O20&gt;=$N18)</formula>
    </cfRule>
    <cfRule type="cellIs" priority="198" dxfId="3" operator="notBetween" stopIfTrue="1">
      <formula>0</formula>
      <formula>1</formula>
    </cfRule>
  </conditionalFormatting>
  <conditionalFormatting sqref="P20:W20">
    <cfRule type="expression" priority="199" dxfId="4" stopIfTrue="1">
      <formula>AND(ISNUMBER(O20),O20&gt;=$N18)</formula>
    </cfRule>
    <cfRule type="cellIs" priority="200" dxfId="3" operator="notBetween" stopIfTrue="1">
      <formula>0</formula>
      <formula>$N18</formula>
    </cfRule>
  </conditionalFormatting>
  <conditionalFormatting sqref="O10:W10">
    <cfRule type="expression" priority="169" dxfId="661" stopIfTrue="1">
      <formula>1=1</formula>
    </cfRule>
  </conditionalFormatting>
  <conditionalFormatting sqref="P18:W18">
    <cfRule type="expression" priority="124" dxfId="2" stopIfTrue="1">
      <formula>AND(ISNUMBER(O20),O20&gt;=$N18)</formula>
    </cfRule>
    <cfRule type="expression" priority="125" dxfId="1" stopIfTrue="1">
      <formula>$B20=FALSE</formula>
    </cfRule>
    <cfRule type="expression" priority="126" dxfId="660" stopIfTrue="1">
      <formula>$C20=1</formula>
    </cfRule>
  </conditionalFormatting>
  <conditionalFormatting sqref="AC18">
    <cfRule type="expression" priority="44" dxfId="2" stopIfTrue="1">
      <formula>AND(ISNUMBER(AB20),AB20&gt;=$N18)</formula>
    </cfRule>
    <cfRule type="expression" priority="45" dxfId="1" stopIfTrue="1">
      <formula>$B20=FALSE</formula>
    </cfRule>
    <cfRule type="expression" priority="46" dxfId="660" stopIfTrue="1">
      <formula>$C20=1</formula>
    </cfRule>
  </conditionalFormatting>
  <conditionalFormatting sqref="AC12">
    <cfRule type="expression" priority="59" dxfId="6" stopIfTrue="1">
      <formula>AND(ISNUMBER(AB13),AB13&gt;=$N11)</formula>
    </cfRule>
    <cfRule type="cellIs" priority="60" dxfId="3" operator="notBetween" stopIfTrue="1">
      <formula>0</formula>
      <formula>1</formula>
    </cfRule>
  </conditionalFormatting>
  <conditionalFormatting sqref="AC13">
    <cfRule type="expression" priority="61" dxfId="4" stopIfTrue="1">
      <formula>AND(ISNUMBER(AB13),AB13&gt;=$N11)</formula>
    </cfRule>
    <cfRule type="cellIs" priority="62" dxfId="3" operator="notBetween" stopIfTrue="1">
      <formula>0</formula>
      <formula>$N11</formula>
    </cfRule>
  </conditionalFormatting>
  <conditionalFormatting sqref="AC14">
    <cfRule type="expression" priority="63" dxfId="4" stopIfTrue="1">
      <formula>AND(ISNUMBER(AB17),AB17&gt;=$N14)</formula>
    </cfRule>
  </conditionalFormatting>
  <conditionalFormatting sqref="AC15">
    <cfRule type="expression" priority="64" dxfId="4" stopIfTrue="1">
      <formula>AND(ISNUMBER(AB17),AB17&gt;=$N14)</formula>
    </cfRule>
  </conditionalFormatting>
  <conditionalFormatting sqref="AC16">
    <cfRule type="expression" priority="65" dxfId="4" stopIfTrue="1">
      <formula>AND(ISNUMBER(AB17),AB17&gt;=$N14)</formula>
    </cfRule>
    <cfRule type="cellIs" priority="66" dxfId="3" operator="notBetween" stopIfTrue="1">
      <formula>0</formula>
      <formula>1</formula>
    </cfRule>
  </conditionalFormatting>
  <conditionalFormatting sqref="AC17">
    <cfRule type="expression" priority="67" dxfId="4" stopIfTrue="1">
      <formula>AND(ISNUMBER(AB17),AB17&gt;=$N14)</formula>
    </cfRule>
    <cfRule type="cellIs" priority="68" dxfId="3" operator="notBetween" stopIfTrue="1">
      <formula>0</formula>
      <formula>$N14</formula>
    </cfRule>
  </conditionalFormatting>
  <conditionalFormatting sqref="AC11">
    <cfRule type="expression" priority="56" dxfId="2" stopIfTrue="1">
      <formula>AND(ISNUMBER(AB13),AB13&gt;=$N11)</formula>
    </cfRule>
    <cfRule type="expression" priority="57" dxfId="1" stopIfTrue="1">
      <formula>$B13=FALSE</formula>
    </cfRule>
    <cfRule type="expression" priority="58" dxfId="660" stopIfTrue="1">
      <formula>$C13=1</formula>
    </cfRule>
  </conditionalFormatting>
  <conditionalFormatting sqref="AC19">
    <cfRule type="expression" priority="52" dxfId="6" stopIfTrue="1">
      <formula>AND(ISNUMBER(AB20),AB20&gt;=$N18)</formula>
    </cfRule>
    <cfRule type="cellIs" priority="53" dxfId="3" operator="notBetween" stopIfTrue="1">
      <formula>0</formula>
      <formula>1</formula>
    </cfRule>
  </conditionalFormatting>
  <conditionalFormatting sqref="AC20">
    <cfRule type="expression" priority="54" dxfId="4" stopIfTrue="1">
      <formula>AND(ISNUMBER(AB20),AB20&gt;=$N18)</formula>
    </cfRule>
    <cfRule type="cellIs" priority="55" dxfId="3" operator="notBetween" stopIfTrue="1">
      <formula>0</formula>
      <formula>$N18</formula>
    </cfRule>
  </conditionalFormatting>
  <conditionalFormatting sqref="AC10">
    <cfRule type="expression" priority="47" dxfId="661" stopIfTrue="1">
      <formula>1=1</formula>
    </cfRule>
  </conditionalFormatting>
  <conditionalFormatting sqref="L21:N21 L24:N24 L27:N27 L30:N30 L33:N33 L36:N36 L39:N39 L42:N42 L45:N45 L48:N48 L51:N51 L54:N54 L57:N57 L60:N60 L63:N63 L66:N66 L69:N69 L72:N72 L75:N75 L78:N78 L81:N81 L84:N84 L87:N87 L90:N90 L93:N93 L96:N96 L22:M23 L25:M26 L28:M29 L31:M32 L34:M35 L37:M38 L40:M41 L43:M44 L46:M47 L49:M50 L52:M53 L55:M56 L58:M59 L61:M62 L64:M65 L67:M68 L70:M71 L73:M74 L76:M77 L79:M80 L82:M83 L85:M86 L88:M89 L91:M92 L94:M95">
    <cfRule type="expression" priority="28" dxfId="656" stopIfTrue="1">
      <formula>$C23=1</formula>
    </cfRule>
  </conditionalFormatting>
  <conditionalFormatting sqref="O21 O24 O27 O30 O33 O36 O39 O42 O45 O48 O51 O54 O57 O60 O63 O66 O69 O72 O75 O78 O81 O84 O87 O90 O93 O96">
    <cfRule type="expression" priority="33" dxfId="1" stopIfTrue="1">
      <formula>$B23=FALSE</formula>
    </cfRule>
    <cfRule type="expression" priority="34" dxfId="660" stopIfTrue="1">
      <formula>$C23=1</formula>
    </cfRule>
  </conditionalFormatting>
  <conditionalFormatting sqref="P22:W22 P25:W25 P28:W28 P31:W31 P34:W34 P37:W37 P40:W40 P43:W43 P46:W46 P49:W49 P52:W52 P55:W55 P58:W58 P61:W61 P64:W64 P67:W67 P70:W70 P73:W73 P76:W76 P79:W79 P82:W82 P85:W85 P88:W88 P91:W91 P94:W94 P97:W97">
    <cfRule type="expression" priority="29" dxfId="6" stopIfTrue="1">
      <formula>AND(ISNUMBER(O23),O23&gt;=$N21)</formula>
    </cfRule>
    <cfRule type="cellIs" priority="30" dxfId="3" operator="notBetween" stopIfTrue="1">
      <formula>0</formula>
      <formula>1</formula>
    </cfRule>
  </conditionalFormatting>
  <conditionalFormatting sqref="P23:W23 P26:W26 P29:W29 P32:W32 P35:W35 P38:W38 P41:W41 P44:W44 P47:W47 P50:W50 P53:W53 P56:W56 P59:W59 P62:W62 P65:W65 P68:W68 P71:W71 P74:W74 P77:W77 P80:W80 P83:W83 P86:W86 P89:W89 P92:W92 P95:W95 P98:W98">
    <cfRule type="expression" priority="31" dxfId="4" stopIfTrue="1">
      <formula>AND(ISNUMBER(O23),O23&gt;=$N21)</formula>
    </cfRule>
    <cfRule type="cellIs" priority="32" dxfId="3" operator="notBetween" stopIfTrue="1">
      <formula>0</formula>
      <formula>$N21</formula>
    </cfRule>
  </conditionalFormatting>
  <conditionalFormatting sqref="P21:W21 P24:W24 P27:W27 P30:W30 P33:W33 P36:W36 P39:W39 P42:W42 P45:W45 P48:W48 P51:W51 P54:W54 P57:W57 P60:W60 P63:W63 P66:W66 P69:W69 P72:W72 P75:W75 P78:W78 P81:W81 P90:W90 P93:W93 P96:W96 P84:W84 P87:W87">
    <cfRule type="expression" priority="25" dxfId="2" stopIfTrue="1">
      <formula>AND(ISNUMBER(O23),O23&gt;=$N21)</formula>
    </cfRule>
    <cfRule type="expression" priority="26" dxfId="1" stopIfTrue="1">
      <formula>$B23=FALSE</formula>
    </cfRule>
    <cfRule type="expression" priority="27" dxfId="660" stopIfTrue="1">
      <formula>$C23=1</formula>
    </cfRule>
  </conditionalFormatting>
  <conditionalFormatting sqref="AC22 AC25 AC28 AC31 AC34 AC37 AC40 AC43 AC46 AC49 AC52 AC55 AC58 AC61 AC64 AC67 AC70 AC73 AC76 AC79 AC82 AC85 AC88 AC91 AC94 AC97">
    <cfRule type="expression" priority="21" dxfId="6" stopIfTrue="1">
      <formula>AND(ISNUMBER(AB23),AB23&gt;=$N21)</formula>
    </cfRule>
    <cfRule type="cellIs" priority="22" dxfId="3" operator="notBetween" stopIfTrue="1">
      <formula>0</formula>
      <formula>1</formula>
    </cfRule>
  </conditionalFormatting>
  <conditionalFormatting sqref="AC23 AC26 AC29 AC32 AC35 AC38 AC41 AC44 AC47 AC50 AC53 AC56 AC59 AC62 AC65 AC68 AC71 AC74 AC77 AC80 AC83 AC86 AC89 AC92 AC95 AC98">
    <cfRule type="expression" priority="23" dxfId="4" stopIfTrue="1">
      <formula>AND(ISNUMBER(AB23),AB23&gt;=$N21)</formula>
    </cfRule>
    <cfRule type="cellIs" priority="24" dxfId="3" operator="notBetween" stopIfTrue="1">
      <formula>0</formula>
      <formula>$N21</formula>
    </cfRule>
  </conditionalFormatting>
  <conditionalFormatting sqref="AC21 AC24 AC27 AC30 AC33 AC36 AC39 AC42 AC45 AC48 AC51 AC54 AC57 AC60 AC63 AC66 AC69 AC72 AC75 AC78 AC81 AC84 AC87 AC90 AC93 AC96">
    <cfRule type="expression" priority="18" dxfId="2" stopIfTrue="1">
      <formula>AND(ISNUMBER(AB23),AB23&gt;=$N21)</formula>
    </cfRule>
    <cfRule type="expression" priority="19" dxfId="1" stopIfTrue="1">
      <formula>$B23=FALSE</formula>
    </cfRule>
    <cfRule type="expression" priority="20" dxfId="660" stopIfTrue="1">
      <formula>$C23=1</formula>
    </cfRule>
  </conditionalFormatting>
  <conditionalFormatting sqref="L97:M98">
    <cfRule type="expression" priority="3218" dxfId="656" stopIfTrue="1">
      <formula>CFF!#REF!=1</formula>
    </cfRule>
  </conditionalFormatting>
  <conditionalFormatting sqref="L99:N99 L102:N102 L105:N105 L108:N108 L111:N111 L114:N114 L117:N117 L120:N120 L123:N123 L126:N126 L129:N129 L132:N132 L100:M101 L103:M104 L106:M107 L109:M110 L112:M113 L115:M116 L118:M119 L121:M122 L124:M125 L127:M128 L130:M131 L133:M134">
    <cfRule type="expression" priority="11" dxfId="656" stopIfTrue="1">
      <formula>$C101=1</formula>
    </cfRule>
  </conditionalFormatting>
  <conditionalFormatting sqref="O99 O102 O105 O108 O111 O114 O117 O120 O123 O126 O129 O132">
    <cfRule type="expression" priority="16" dxfId="1" stopIfTrue="1">
      <formula>$B101=FALSE</formula>
    </cfRule>
    <cfRule type="expression" priority="17" dxfId="660" stopIfTrue="1">
      <formula>$C101=1</formula>
    </cfRule>
  </conditionalFormatting>
  <conditionalFormatting sqref="P100:W100 P103:W103 P106:W106 P109:W109 P112:W112 P115:W115 P118:W118 P121:W121 P124:W124 P127:W127 P130:W130 P133:W133">
    <cfRule type="expression" priority="12" dxfId="6" stopIfTrue="1">
      <formula>AND(ISNUMBER(O101),O101&gt;=$N99)</formula>
    </cfRule>
    <cfRule type="cellIs" priority="13" dxfId="3" operator="notBetween" stopIfTrue="1">
      <formula>0</formula>
      <formula>1</formula>
    </cfRule>
  </conditionalFormatting>
  <conditionalFormatting sqref="P101:W101 P104:W104 P107:W107 P110:W110 P113:W113 P116:W116 P119:W119 P122:W122 P125:W125 P128:W128 P131:W131 P134:W134">
    <cfRule type="expression" priority="14" dxfId="4" stopIfTrue="1">
      <formula>AND(ISNUMBER(O101),O101&gt;=$N99)</formula>
    </cfRule>
    <cfRule type="cellIs" priority="15" dxfId="3" operator="notBetween" stopIfTrue="1">
      <formula>0</formula>
      <formula>$N99</formula>
    </cfRule>
  </conditionalFormatting>
  <conditionalFormatting sqref="P99:W99 P102:W102 P105:W105 P108:W108 P111:W111 P114:W114 P117:W117 P120:W120 P123:W123 P126:W126 P129:W129 P132:W132">
    <cfRule type="expression" priority="8" dxfId="2" stopIfTrue="1">
      <formula>AND(ISNUMBER(O101),O101&gt;=$N99)</formula>
    </cfRule>
    <cfRule type="expression" priority="9" dxfId="1" stopIfTrue="1">
      <formula>$B101=FALSE</formula>
    </cfRule>
    <cfRule type="expression" priority="10" dxfId="660" stopIfTrue="1">
      <formula>$C101=1</formula>
    </cfRule>
  </conditionalFormatting>
  <conditionalFormatting sqref="AC100 AC103 AC106 AC109 AC112 AC115 AC118 AC121 AC124 AC127 AC130 AC133">
    <cfRule type="expression" priority="4" dxfId="6" stopIfTrue="1">
      <formula>AND(ISNUMBER(AB101),AB101&gt;=$N99)</formula>
    </cfRule>
    <cfRule type="cellIs" priority="5" dxfId="3" operator="notBetween" stopIfTrue="1">
      <formula>0</formula>
      <formula>1</formula>
    </cfRule>
  </conditionalFormatting>
  <conditionalFormatting sqref="AC101 AC104 AC107 AC110 AC113 AC116 AC119 AC122 AC125 AC128 AC131 AC134">
    <cfRule type="expression" priority="6" dxfId="4" stopIfTrue="1">
      <formula>AND(ISNUMBER(AB101),AB101&gt;=$N99)</formula>
    </cfRule>
    <cfRule type="cellIs" priority="7" dxfId="3" operator="notBetween" stopIfTrue="1">
      <formula>0</formula>
      <formula>$N99</formula>
    </cfRule>
  </conditionalFormatting>
  <conditionalFormatting sqref="AC99 AC102 AC105 AC108 AC111 AC114 AC117 AC120 AC123 AC126 AC129 AC132">
    <cfRule type="expression" priority="1" dxfId="2" stopIfTrue="1">
      <formula>AND(ISNUMBER(AB101),AB101&gt;=$N99)</formula>
    </cfRule>
    <cfRule type="expression" priority="2" dxfId="1" stopIfTrue="1">
      <formula>$B101=FALSE</formula>
    </cfRule>
    <cfRule type="expression" priority="3" dxfId="660" stopIfTrue="1">
      <formula>$C101=1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P30:W30 P33:W33 P36:W36 P39:W39 P42:W42 P45:W45 P48:W48 P51:W51 P54:W54 P57:W57 P60:W60 P63:W63 P66:W66 P69:W69 P72:W72 P75:W75 P78:W78 P81:W81 P84:W84 P87:W87 P90:W90 P93:W93 P96:W96 AC21 AC24 AC27 AC30 AC33 AC36 AC39 AC42 AC45 AC48 AC51 AC54 AC57 AC60 AC63 AC66 AC69 AC72 AC75 AC78 AC81 AC84 AC87 AC90 AC93 AC96 P99:W99 P102:W102 P105:W105 P108:W108 P111:W111 P114:W114 P117:W117 P120:W120 P123:W123 P126:W126 P129:W129 P132:W132 AC99 AC102 AC105 AC108 AC111 AC114 AC117 AC120 AC123 AC126 AC129 AC132">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User</cp:lastModifiedBy>
  <cp:lastPrinted>2024-02-05T00:32:15Z</cp:lastPrinted>
  <dcterms:created xsi:type="dcterms:W3CDTF">1998-03-27T18:43:07Z</dcterms:created>
  <dcterms:modified xsi:type="dcterms:W3CDTF">2024-02-05T01:01:29Z</dcterms:modified>
  <cp:category/>
  <cp:version/>
  <cp:contentType/>
  <cp:contentStatus/>
</cp:coreProperties>
</file>